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mbrette\Desktop\"/>
    </mc:Choice>
  </mc:AlternateContent>
  <xr:revisionPtr revIDLastSave="0" documentId="8_{B067982B-0E9A-C440-9907-F55047AF37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3" sheetId="19" r:id="rId1"/>
    <sheet name="Feuil4" sheetId="20" r:id="rId2"/>
    <sheet name="Feuil5" sheetId="21" r:id="rId3"/>
    <sheet name="Feuil6" sheetId="22" r:id="rId4"/>
    <sheet name="Feuil7" sheetId="23" r:id="rId5"/>
    <sheet name="calcul" sheetId="31" r:id="rId6"/>
    <sheet name="Feuil8" sheetId="24" r:id="rId7"/>
    <sheet name="Feuil9" sheetId="25" r:id="rId8"/>
    <sheet name="Feuil10" sheetId="26" r:id="rId9"/>
    <sheet name="Feuil11" sheetId="27" r:id="rId10"/>
    <sheet name="Feuil12" sheetId="28" r:id="rId11"/>
    <sheet name="Feuil13" sheetId="29" r:id="rId12"/>
    <sheet name="cloture" sheetId="10" r:id="rId13"/>
    <sheet name="409et407" sheetId="12" r:id="rId14"/>
    <sheet name="HUB" sheetId="5" r:id="rId15"/>
    <sheet name="seramco" sheetId="6" r:id="rId16"/>
    <sheet name="NPOWER" sheetId="8" r:id="rId17"/>
    <sheet name="NPOWERSUIVI (2)" sheetId="14" r:id="rId18"/>
    <sheet name="cowo" sheetId="9" r:id="rId19"/>
    <sheet name="uia" sheetId="15" r:id="rId20"/>
    <sheet name="fe" sheetId="2" r:id="rId21"/>
    <sheet name="financier" sheetId="11" r:id="rId22"/>
    <sheet name="remourban " sheetId="3" r:id="rId23"/>
    <sheet name="325-2018" sheetId="4" r:id="rId24"/>
    <sheet name="325-2019 (2)" sheetId="16" r:id="rId25"/>
    <sheet name="taxeasbl" sheetId="7" r:id="rId26"/>
    <sheet name="dcville" sheetId="33" r:id="rId27"/>
    <sheet name="dcville (3)" sheetId="37" r:id="rId28"/>
    <sheet name="dcville (2)" sheetId="34" r:id="rId29"/>
    <sheet name="dcville (4)" sheetId="38" r:id="rId30"/>
    <sheet name="chequecommerceville" sheetId="39" r:id="rId31"/>
    <sheet name="Feuil2" sheetId="40" r:id="rId32"/>
    <sheet name="Feuil14" sheetId="41" r:id="rId33"/>
    <sheet name="Feuil15" sheetId="42" r:id="rId34"/>
    <sheet name="Feuil16" sheetId="43" r:id="rId35"/>
    <sheet name="Feuil17" sheetId="44" r:id="rId36"/>
    <sheet name="Feuil18" sheetId="45" r:id="rId37"/>
    <sheet name="lettre (2)" sheetId="32" r:id="rId38"/>
    <sheet name="belfius" sheetId="36" r:id="rId39"/>
    <sheet name="rupturecommunaccord" sheetId="35" r:id="rId40"/>
  </sheets>
  <definedNames>
    <definedName name="_xlnm.Print_Area" localSheetId="38">belfius!$A$1:$I$57</definedName>
    <definedName name="_xlnm.Print_Area" localSheetId="30">chequecommerceville!$A$1:$G$55</definedName>
    <definedName name="_xlnm.Print_Area" localSheetId="18">cowo!$A$1:$K$26</definedName>
    <definedName name="_xlnm.Print_Area" localSheetId="26">dcville!$A$1:$G$51</definedName>
    <definedName name="_xlnm.Print_Area" localSheetId="28">'dcville (2)'!$A$1:$G$52</definedName>
    <definedName name="_xlnm.Print_Area" localSheetId="27">'dcville (3)'!$A$1:$G$51</definedName>
    <definedName name="_xlnm.Print_Area" localSheetId="29">'dcville (4)'!$A$1:$G$52</definedName>
    <definedName name="_xlnm.Print_Area" localSheetId="20">fe!$A$1:$J$74</definedName>
    <definedName name="_xlnm.Print_Area" localSheetId="0">Feuil3!$A$1:$L$77</definedName>
    <definedName name="_xlnm.Print_Area" localSheetId="21">financier!$A$1:$J$50</definedName>
    <definedName name="_xlnm.Print_Area" localSheetId="37">'lettre (2)'!$A$1:$I$62</definedName>
    <definedName name="_xlnm.Print_Area" localSheetId="16">NPOWER!$A$4:$N$114</definedName>
    <definedName name="_xlnm.Print_Area" localSheetId="17">'NPOWERSUIVI (2)'!$A$1:$R$59</definedName>
    <definedName name="_xlnm.Print_Area" localSheetId="22">'remourban '!$A$1:$G$54</definedName>
    <definedName name="_xlnm.Print_Area" localSheetId="39">rupturecommunaccord!$A$1:$G$42</definedName>
    <definedName name="_xlnm.Print_Area" localSheetId="15">seramco!$A$1:$M$85</definedName>
    <definedName name="_xlnm.Print_Area" localSheetId="19">uia!$A$1:$K$18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6" l="1"/>
  <c r="E23" i="16"/>
  <c r="E21" i="16"/>
  <c r="C20" i="16"/>
  <c r="E20" i="16"/>
  <c r="C18" i="16"/>
  <c r="E18" i="16"/>
  <c r="C8" i="16"/>
  <c r="C14" i="16"/>
  <c r="E14" i="16"/>
  <c r="M16" i="14"/>
  <c r="C10" i="14"/>
  <c r="C13" i="14"/>
  <c r="D13" i="14"/>
  <c r="C4" i="14"/>
  <c r="D4" i="14"/>
  <c r="B16" i="14"/>
  <c r="C16" i="14"/>
  <c r="D10" i="14"/>
  <c r="D22" i="12"/>
  <c r="E22" i="12"/>
  <c r="C22" i="12"/>
  <c r="D16" i="14"/>
  <c r="AO37" i="4"/>
  <c r="AQ37" i="4"/>
  <c r="AP25" i="4"/>
  <c r="C36" i="6"/>
  <c r="R25" i="4"/>
  <c r="W6" i="4"/>
  <c r="V6" i="4"/>
  <c r="AM6" i="4"/>
  <c r="AL6" i="4"/>
  <c r="AQ7" i="4"/>
  <c r="AQ11" i="4"/>
  <c r="AQ13" i="4"/>
  <c r="AQ14" i="4"/>
  <c r="AQ17" i="4"/>
  <c r="AQ18" i="4"/>
  <c r="AQ20" i="4"/>
  <c r="AQ27" i="4"/>
  <c r="AQ35" i="4"/>
  <c r="AP6" i="4"/>
  <c r="AQ6" i="4"/>
  <c r="AL25" i="4"/>
  <c r="AL13" i="4"/>
  <c r="AM11" i="4"/>
  <c r="AM14" i="4"/>
  <c r="AM17" i="4"/>
  <c r="AM18" i="4"/>
  <c r="AM7" i="4"/>
  <c r="AK27" i="4"/>
  <c r="AM27" i="4"/>
  <c r="AK25" i="4"/>
  <c r="AM25" i="4"/>
  <c r="AK20" i="4"/>
  <c r="AM20" i="4"/>
  <c r="AK13" i="4"/>
  <c r="AK34" i="4"/>
  <c r="AM34" i="4"/>
  <c r="AK6" i="4"/>
  <c r="AM13" i="4"/>
  <c r="AS7" i="4"/>
  <c r="AS6" i="4"/>
  <c r="AJ7" i="4"/>
  <c r="AJ11" i="4"/>
  <c r="AJ17" i="4"/>
  <c r="AJ18" i="4"/>
  <c r="AH20" i="4"/>
  <c r="AJ20" i="4"/>
  <c r="AI25" i="4"/>
  <c r="AI13" i="4"/>
  <c r="AJ13" i="4"/>
  <c r="AI6" i="4"/>
  <c r="AH27" i="4"/>
  <c r="AJ27" i="4"/>
  <c r="AH25" i="4"/>
  <c r="AJ25" i="4"/>
  <c r="AH34" i="4"/>
  <c r="AJ34" i="4"/>
  <c r="AH6" i="4"/>
  <c r="Z25" i="4"/>
  <c r="AA14" i="4"/>
  <c r="Z13" i="4"/>
  <c r="AA13" i="4"/>
  <c r="AA7" i="4"/>
  <c r="AA11" i="4"/>
  <c r="AA17" i="4"/>
  <c r="AA18" i="4"/>
  <c r="AA20" i="4"/>
  <c r="Z6" i="4"/>
  <c r="AA6" i="4"/>
  <c r="Y25" i="4"/>
  <c r="Y27" i="4"/>
  <c r="AA27" i="4"/>
  <c r="Y34" i="4"/>
  <c r="AA34" i="4"/>
  <c r="AF25" i="4"/>
  <c r="AE27" i="4"/>
  <c r="AG27" i="4"/>
  <c r="AE25" i="4"/>
  <c r="AG25" i="4"/>
  <c r="AA25" i="4"/>
  <c r="AJ6" i="4"/>
  <c r="B10" i="3"/>
  <c r="AG7" i="4"/>
  <c r="AG11" i="4"/>
  <c r="AG17" i="4"/>
  <c r="AG18" i="4"/>
  <c r="AE6" i="4"/>
  <c r="AF6" i="4"/>
  <c r="AG6" i="4"/>
  <c r="AE20" i="4"/>
  <c r="AG20" i="4"/>
  <c r="AE13" i="4"/>
  <c r="AG13" i="4"/>
  <c r="AE34" i="4"/>
  <c r="AG34" i="4"/>
  <c r="AB25" i="4"/>
  <c r="AB27" i="4"/>
  <c r="AD27" i="4"/>
  <c r="AC25" i="4"/>
  <c r="AD7" i="4"/>
  <c r="AD11" i="4"/>
  <c r="AD17" i="4"/>
  <c r="AD18" i="4"/>
  <c r="AD20" i="4"/>
  <c r="AD26" i="4"/>
  <c r="AC6" i="4"/>
  <c r="AD6" i="4"/>
  <c r="AB13" i="4"/>
  <c r="AD13" i="4"/>
  <c r="AB34" i="4"/>
  <c r="AD34" i="4"/>
  <c r="U25" i="4"/>
  <c r="U27" i="4"/>
  <c r="W27" i="4"/>
  <c r="V34" i="4"/>
  <c r="V25" i="4"/>
  <c r="W11" i="4"/>
  <c r="W17" i="4"/>
  <c r="W18" i="4"/>
  <c r="W26" i="4"/>
  <c r="W7" i="4"/>
  <c r="V13" i="4"/>
  <c r="U20" i="4"/>
  <c r="W20" i="4"/>
  <c r="U14" i="4"/>
  <c r="W14" i="4"/>
  <c r="U13" i="4"/>
  <c r="U34" i="4"/>
  <c r="U6" i="4"/>
  <c r="R27" i="4"/>
  <c r="S25" i="4"/>
  <c r="AO34" i="4"/>
  <c r="AQ34" i="4"/>
  <c r="W13" i="4"/>
  <c r="W34" i="4"/>
  <c r="AD25" i="4"/>
  <c r="W25" i="4"/>
  <c r="T25" i="4"/>
  <c r="T7" i="4"/>
  <c r="T11" i="4"/>
  <c r="T13" i="4"/>
  <c r="T17" i="4"/>
  <c r="T18" i="4"/>
  <c r="T20" i="4"/>
  <c r="T27" i="4"/>
  <c r="T34" i="4"/>
  <c r="S6" i="4"/>
  <c r="T6" i="4"/>
  <c r="P25" i="4"/>
  <c r="O25" i="4"/>
  <c r="O27" i="4"/>
  <c r="Q27" i="4"/>
  <c r="Q7" i="4"/>
  <c r="Q11" i="4"/>
  <c r="Q13" i="4"/>
  <c r="Q14" i="4"/>
  <c r="Q17" i="4"/>
  <c r="Q18" i="4"/>
  <c r="Q20" i="4"/>
  <c r="Q34" i="4"/>
  <c r="P6" i="4"/>
  <c r="Q6" i="4"/>
  <c r="L27" i="4"/>
  <c r="N27" i="4"/>
  <c r="L25" i="4"/>
  <c r="N34" i="4"/>
  <c r="N11" i="4"/>
  <c r="N13" i="4"/>
  <c r="N14" i="4"/>
  <c r="N17" i="4"/>
  <c r="N18" i="4"/>
  <c r="N20" i="4"/>
  <c r="N7" i="4"/>
  <c r="M25" i="4"/>
  <c r="M6" i="4"/>
  <c r="N6" i="4"/>
  <c r="J25" i="4"/>
  <c r="I25" i="4"/>
  <c r="I27" i="4"/>
  <c r="J36" i="4"/>
  <c r="K34" i="4"/>
  <c r="K26" i="4"/>
  <c r="K11" i="4"/>
  <c r="K12" i="4"/>
  <c r="K13" i="4"/>
  <c r="K17" i="4"/>
  <c r="K18" i="4"/>
  <c r="K20" i="4"/>
  <c r="J27" i="4"/>
  <c r="J6" i="4"/>
  <c r="K6" i="4"/>
  <c r="F27" i="4"/>
  <c r="H27" i="4"/>
  <c r="F25" i="4"/>
  <c r="G25" i="4"/>
  <c r="H11" i="4"/>
  <c r="H12" i="4"/>
  <c r="H13" i="4"/>
  <c r="H17" i="4"/>
  <c r="H18" i="4"/>
  <c r="H20" i="4"/>
  <c r="H34" i="4"/>
  <c r="E34" i="4"/>
  <c r="G8" i="4"/>
  <c r="H8" i="4"/>
  <c r="E27" i="4"/>
  <c r="D25" i="4"/>
  <c r="C25" i="4"/>
  <c r="E25" i="4"/>
  <c r="E9" i="4"/>
  <c r="E10" i="4"/>
  <c r="E11" i="4"/>
  <c r="E12" i="4"/>
  <c r="E13" i="4"/>
  <c r="E14" i="4"/>
  <c r="E15" i="4"/>
  <c r="E16" i="4"/>
  <c r="E17" i="4"/>
  <c r="E18" i="4"/>
  <c r="E19" i="4"/>
  <c r="E20" i="4"/>
  <c r="D6" i="4"/>
  <c r="C8" i="4"/>
  <c r="E8" i="4"/>
  <c r="H25" i="4"/>
  <c r="N25" i="4"/>
  <c r="Q25" i="4"/>
  <c r="K25" i="4"/>
  <c r="K27" i="4"/>
</calcChain>
</file>

<file path=xl/sharedStrings.xml><?xml version="1.0" encoding="utf-8"?>
<sst xmlns="http://schemas.openxmlformats.org/spreadsheetml/2006/main" count="1010" uniqueCount="757">
  <si>
    <t xml:space="preserve">PARTENA </t>
  </si>
  <si>
    <t xml:space="preserve">frais des gestion </t>
  </si>
  <si>
    <t>BSD 0%</t>
  </si>
  <si>
    <t>NR19</t>
  </si>
  <si>
    <t>PERS</t>
  </si>
  <si>
    <t>DIV</t>
  </si>
  <si>
    <t>XMP</t>
  </si>
  <si>
    <t>EDENRED</t>
  </si>
  <si>
    <t>service</t>
  </si>
  <si>
    <t>TR</t>
  </si>
  <si>
    <t>DOMICILIATION</t>
  </si>
  <si>
    <t>GCS</t>
  </si>
  <si>
    <t>PHOTOCOPIE</t>
  </si>
  <si>
    <t>BSD21%</t>
  </si>
  <si>
    <t>COWO19</t>
  </si>
  <si>
    <t>FCT</t>
  </si>
  <si>
    <t>Si concerne COWO TVA D</t>
  </si>
  <si>
    <t>(les encodages précédents ont</t>
  </si>
  <si>
    <t>fait l'objet de régularisations en od</t>
  </si>
  <si>
    <t>car la tva n  avait pas  été récupérée)</t>
  </si>
  <si>
    <t>RCI</t>
  </si>
  <si>
    <t>LOCATION BATTERIE</t>
  </si>
  <si>
    <t>REFACT</t>
  </si>
  <si>
    <t>VILLE</t>
  </si>
  <si>
    <t>A REFACTURER A LA VILLE</t>
  </si>
  <si>
    <t>AU 31/12</t>
  </si>
  <si>
    <t>Prévoir complément ass loi sur base des 62</t>
  </si>
  <si>
    <t>Christelle Degard</t>
  </si>
  <si>
    <t>CDE</t>
  </si>
  <si>
    <t xml:space="preserve">Zoé Lejeune </t>
  </si>
  <si>
    <t>ZLE</t>
  </si>
  <si>
    <t>APE</t>
  </si>
  <si>
    <t>du 01/01/2015 au 31/12/2019</t>
  </si>
  <si>
    <t>1er T =</t>
  </si>
  <si>
    <t>12 mois</t>
  </si>
  <si>
    <t>2eme T=</t>
  </si>
  <si>
    <t>3eme T=</t>
  </si>
  <si>
    <t>du 01/01/2017 au 30/06/2018</t>
  </si>
  <si>
    <t>18 mois</t>
  </si>
  <si>
    <t xml:space="preserve"> </t>
  </si>
  <si>
    <t>compta</t>
  </si>
  <si>
    <t>rem</t>
  </si>
  <si>
    <t>tr</t>
  </si>
  <si>
    <t>diff</t>
  </si>
  <si>
    <t>JANVIER</t>
  </si>
  <si>
    <t>FEVRIER</t>
  </si>
  <si>
    <t>COMPTA</t>
  </si>
  <si>
    <t>DIFF</t>
  </si>
  <si>
    <t>MARS</t>
  </si>
  <si>
    <t>cotisation 10,27%</t>
  </si>
  <si>
    <t>AVRIL</t>
  </si>
  <si>
    <t>NET</t>
  </si>
  <si>
    <t>verif  cumul</t>
  </si>
  <si>
    <t>imposable</t>
  </si>
  <si>
    <t>MAI</t>
  </si>
  <si>
    <t>JUIN</t>
  </si>
  <si>
    <t>JUSTIFIER CPTE REM</t>
  </si>
  <si>
    <t>Juillet</t>
  </si>
  <si>
    <t>va</t>
  </si>
  <si>
    <t>AOUT</t>
  </si>
  <si>
    <t>SEPTEMBRE</t>
  </si>
  <si>
    <t>OCTOBRE</t>
  </si>
  <si>
    <t>reste à prévoir 6 mois</t>
  </si>
  <si>
    <t>une partie du subside sera  versé à la fin  du  projet</t>
  </si>
  <si>
    <t xml:space="preserve">  </t>
  </si>
  <si>
    <t>prochain</t>
  </si>
  <si>
    <t>01/07/2018 au 31/12/2019</t>
  </si>
  <si>
    <t>DEPENSES :      Actuellement plus aucune dépense n'est refusée car un premier filtre a lieu en amont.</t>
  </si>
  <si>
    <t>Seul les dépenses spécifiques sont acceptées</t>
  </si>
  <si>
    <t>pas de plateforme : les fichiers sous excel sont complétés par Christelle</t>
  </si>
  <si>
    <t>autre  fichier  excell</t>
  </si>
  <si>
    <t xml:space="preserve"> avances </t>
  </si>
  <si>
    <t xml:space="preserve">il y a 3 avances pour </t>
  </si>
  <si>
    <t>un total de 57K ( déduit à la fin ? En attente de CD)</t>
  </si>
  <si>
    <t>rémunération réelle  moins APE</t>
  </si>
  <si>
    <t>cout directs</t>
  </si>
  <si>
    <t>spécifiques sur base des PJ</t>
  </si>
  <si>
    <t>COUT INDIRECT</t>
  </si>
  <si>
    <t>25 %  des rémunérations</t>
  </si>
  <si>
    <t>subsides :</t>
  </si>
  <si>
    <t>prévu :</t>
  </si>
  <si>
    <t>personnel</t>
  </si>
  <si>
    <t>cd</t>
  </si>
  <si>
    <t>forfait 25%</t>
  </si>
  <si>
    <t>en 2019 un budget  complémentaire a  été prévu sans prolongation du 31 /12/2019</t>
  </si>
  <si>
    <t>(en attaente de Christelle)</t>
  </si>
  <si>
    <t>voir 325</t>
  </si>
  <si>
    <t>NOVEMBRE</t>
  </si>
  <si>
    <t>DECEMBRE</t>
  </si>
  <si>
    <t xml:space="preserve">COMPTA </t>
  </si>
  <si>
    <t>HUB</t>
  </si>
  <si>
    <t>Depuis 2019 le personnes avec APE peuvent être reprises dans le "personnel", sous déduction de ce subside</t>
  </si>
  <si>
    <t>CUMUL</t>
  </si>
  <si>
    <t xml:space="preserve">    </t>
  </si>
  <si>
    <t>modif tous les postes des corr</t>
  </si>
  <si>
    <t>SERAMCO</t>
  </si>
  <si>
    <t>Quoi ?</t>
  </si>
  <si>
    <t>Projet europées - intégration de granulats recyclés dans des éléments préfabriqués en béton) - aménagement de parcs</t>
  </si>
  <si>
    <t>12 partenaires et sous-partenaires eurpéens</t>
  </si>
  <si>
    <t xml:space="preserve">Qui ? </t>
  </si>
  <si>
    <t>Amélie</t>
  </si>
  <si>
    <t>budget</t>
  </si>
  <si>
    <t>FEDER</t>
  </si>
  <si>
    <t>RW+ULG</t>
  </si>
  <si>
    <t>Budget de la mission de sous-traitance :</t>
  </si>
  <si>
    <t>PREKO</t>
  </si>
  <si>
    <t>LOCATION MACHINE</t>
  </si>
  <si>
    <t>A  CAFE +  CAFE</t>
  </si>
  <si>
    <t>(catering)</t>
  </si>
  <si>
    <t>BSD21%_6%</t>
  </si>
  <si>
    <t>CHRISTAL HUB</t>
  </si>
  <si>
    <t>à partir d avril  COWO192</t>
  </si>
  <si>
    <t>(convention du 16/03/2017 au 15/09/2020)</t>
  </si>
  <si>
    <t>Les rémunérations subsidiées le sont sur base d'un nombre d'heure * taux horaires</t>
  </si>
  <si>
    <t>( jours férier = pas pris en considération)</t>
  </si>
  <si>
    <t>forfait de 15%</t>
  </si>
  <si>
    <t>Toutes les NF sont prises en considération</t>
  </si>
  <si>
    <t xml:space="preserve">Le  total est ramené à 90%  </t>
  </si>
  <si>
    <t>od</t>
  </si>
  <si>
    <t>NPOWER</t>
  </si>
  <si>
    <t>Christopher : sur le payroll de la ville</t>
  </si>
  <si>
    <t>Amélie : ( voir time sheet)</t>
  </si>
  <si>
    <t>cowo</t>
  </si>
  <si>
    <t>y compris amortiss</t>
  </si>
  <si>
    <t>au 31/12/2018  compte ace à 0</t>
  </si>
  <si>
    <t>au 31/12/2018  414588    /  4k au crédit =  trop perçu</t>
  </si>
  <si>
    <t>basé sur rémunération réelle puis converti en homme mois</t>
  </si>
  <si>
    <t>FONDS PROPRES</t>
  </si>
  <si>
    <t>RW</t>
  </si>
  <si>
    <t>contrôle ape et fonds de roulement</t>
  </si>
  <si>
    <t>WIN</t>
  </si>
  <si>
    <t>Wifi urbain</t>
  </si>
  <si>
    <t>bsd0%</t>
  </si>
  <si>
    <t>KYOCERA</t>
  </si>
  <si>
    <t>Photocopieuse</t>
  </si>
  <si>
    <t>bsd21%</t>
  </si>
  <si>
    <t>ERIGES</t>
  </si>
  <si>
    <t>bsd 0 %</t>
  </si>
  <si>
    <t>PROVISION</t>
  </si>
  <si>
    <t>OVH</t>
  </si>
  <si>
    <t>hébergement de site</t>
  </si>
  <si>
    <t>pour christal hub</t>
  </si>
  <si>
    <t>COWO</t>
  </si>
  <si>
    <t>Elle est faite par BOB</t>
  </si>
  <si>
    <t>voir historique des CG</t>
  </si>
  <si>
    <t>doc régul annuelle a recevoir  ASS  LOI</t>
  </si>
  <si>
    <t>doc de récap annuel à recevoir pour les APE ( voir partie en fonds de roulement cl 4)</t>
  </si>
  <si>
    <t>DIVERS</t>
  </si>
  <si>
    <t>CONTRÔLE</t>
  </si>
  <si>
    <t>classe 6 à transférer en cl 2</t>
  </si>
  <si>
    <t>tableau d'amortiss  et  balance</t>
  </si>
  <si>
    <t>ECRITURE</t>
  </si>
  <si>
    <t>Prov pec vac : 10,27% et 18,80% - on fait par différence</t>
  </si>
  <si>
    <t>BUDGET</t>
  </si>
  <si>
    <t>ASSUJETTI  PARTIEL -  TVA DEDUCTIBLE SUR A REFACTURER ET COWO</t>
  </si>
  <si>
    <t>Voir convention au secrétariat- refacturation Flo le montant ne correspond pas</t>
  </si>
  <si>
    <t>FAR ET NC A RECEVOIR</t>
  </si>
  <si>
    <t>FACT ET NC A  ETABLIR</t>
  </si>
  <si>
    <t>ANALYSE</t>
  </si>
  <si>
    <t xml:space="preserve">Soit refacturé; soit financé par subsides et sub en K, </t>
  </si>
  <si>
    <t>que reste t il financé en fonds propres</t>
  </si>
  <si>
    <t>PV ASSURANCES</t>
  </si>
  <si>
    <t>CODE TVA LE PLUS UTILISé :</t>
  </si>
  <si>
    <t>BSD 21%</t>
  </si>
  <si>
    <t>LOYER payé par Alpi quai louva</t>
  </si>
  <si>
    <t>Louer Neocitta</t>
  </si>
  <si>
    <t>pmt NF</t>
  </si>
  <si>
    <t>BELGIAM Poster quai louva</t>
  </si>
  <si>
    <t xml:space="preserve">PROD </t>
  </si>
  <si>
    <t>(se termine ne 2020)</t>
  </si>
  <si>
    <t>APE / à encoder par personne</t>
  </si>
  <si>
    <t>avance à Cogep</t>
  </si>
  <si>
    <t>( il faut une convention)</t>
  </si>
  <si>
    <t>Prêt ville</t>
  </si>
  <si>
    <t>ristourne PV ass et sinistres</t>
  </si>
  <si>
    <t xml:space="preserve">sub communal </t>
  </si>
  <si>
    <t>(annuel- en 2018 reçu 288k en aout)</t>
  </si>
  <si>
    <t>carburant</t>
  </si>
  <si>
    <t>dettes ville</t>
  </si>
  <si>
    <t>OD SALAIRES /</t>
  </si>
  <si>
    <t>623990 (6,91 X  qté)</t>
  </si>
  <si>
    <t>à</t>
  </si>
  <si>
    <t>PROXIMUS</t>
  </si>
  <si>
    <t>158,29 EUR</t>
  </si>
  <si>
    <t>bsd 21</t>
  </si>
  <si>
    <t>bsd 0%</t>
  </si>
  <si>
    <t>Proximus</t>
  </si>
  <si>
    <t>GSM</t>
  </si>
  <si>
    <t>Sobelvin</t>
  </si>
  <si>
    <t>1xsur 2 à eriges donc</t>
  </si>
  <si>
    <t>pas de refacturation</t>
  </si>
  <si>
    <t>EMP</t>
  </si>
  <si>
    <t>( pour les sommes négatives)</t>
  </si>
  <si>
    <t xml:space="preserve">DIETEREN </t>
  </si>
  <si>
    <t>D'I</t>
  </si>
  <si>
    <t>45,46 EUR ASSURANCE</t>
  </si>
  <si>
    <t>SOLDE</t>
  </si>
  <si>
    <t>EXTOURNE CHARGE A REPORTER</t>
  </si>
  <si>
    <t xml:space="preserve">client </t>
  </si>
  <si>
    <t>ANIMO</t>
  </si>
  <si>
    <t>APERIO</t>
  </si>
  <si>
    <t>AWEX</t>
  </si>
  <si>
    <t>EN 2018 ET HTVA</t>
  </si>
  <si>
    <t>BELLAMY</t>
  </si>
  <si>
    <t>CONDE</t>
  </si>
  <si>
    <t>CREAJOB</t>
  </si>
  <si>
    <t>DALEM</t>
  </si>
  <si>
    <t>DAMIEN JACOB</t>
  </si>
  <si>
    <t>EASI</t>
  </si>
  <si>
    <t>IRISTONE</t>
  </si>
  <si>
    <t>HCBP</t>
  </si>
  <si>
    <t>LEMMENS</t>
  </si>
  <si>
    <t>LIEGE MC</t>
  </si>
  <si>
    <t>MOBIPOST</t>
  </si>
  <si>
    <t>NEO VICTIS</t>
  </si>
  <si>
    <t>PANACH</t>
  </si>
  <si>
    <t>htva</t>
  </si>
  <si>
    <t>VOIR classeur BC   et FAR</t>
  </si>
  <si>
    <t>Contrôle</t>
  </si>
  <si>
    <t>cheque à 23 eur , la diff se retrouve en cl 70 pour les frais (htva)</t>
  </si>
  <si>
    <t>et classe 4  nombre de cheques remboursés</t>
  </si>
  <si>
    <t>comparer 2 années : sur bob = consultation/analyse financière</t>
  </si>
  <si>
    <t>réclamer bilan social à partena :  sur leur site se trouve dans "documents annuels"</t>
  </si>
  <si>
    <t>concordance 325 : sur le site partena voir: doc de paie/cpte entreprise/période</t>
  </si>
  <si>
    <t>divers</t>
  </si>
  <si>
    <t>client bob nr 663100  et  04/361 61 00</t>
  </si>
  <si>
    <t>contrôle  cae obligatoire   et  lien avec  cg- diff = 64</t>
  </si>
  <si>
    <t>voir dico</t>
  </si>
  <si>
    <t>dc de 10 %   car 10%  sont financés par fonds propres</t>
  </si>
  <si>
    <t>rem : pour les réviseurs il  faut la preuve d l'introduction de la  bc  par l'ulg</t>
  </si>
  <si>
    <t>pour la variation des 62 sur deux exercies voir la variation des ETP en moyenne sur l'année et</t>
  </si>
  <si>
    <t>pas uniquement les etp au 31/12</t>
  </si>
  <si>
    <t>ce qui posait problème c  est le taux horaire</t>
  </si>
  <si>
    <t>pour Christoper il faudra 2 à 3  mois avt que cela soit accepté ( à dater de mai 2019)</t>
  </si>
  <si>
    <t>règles valable pour tous les  subsides : ne pas confondre les avances  et les  sub promérités</t>
  </si>
  <si>
    <t>4/5eme temps/ compte 614 : personnel externe ( est-ce une mise à disposition ? )</t>
  </si>
  <si>
    <t>FRAIS ELIGIBLES</t>
  </si>
  <si>
    <t>FRAIS DE PERSONNEL</t>
  </si>
  <si>
    <t>(ce forfait concerne des frais qui ne sont pas  spécifiquement liés au projet )</t>
  </si>
  <si>
    <t>remarque : s'il y a des recettes  en tenir compte jusqu'à 3 ans après la clôture du projet</t>
  </si>
  <si>
    <t xml:space="preserve">taux  STD, y compris pour personnel  détaché </t>
  </si>
  <si>
    <t>taux horaire = 1,2% du brut mensuel ( tel que mentionné sur fiche de paie)</t>
  </si>
  <si>
    <t>( en cas de travail à temps partiel il faut partir de l'equivalent temps plein pour calculer le taux horaire</t>
  </si>
  <si>
    <t>projet nr EMR6</t>
  </si>
  <si>
    <t>depuis juillet 2018 et jusqu au 31/12/2020</t>
  </si>
  <si>
    <t>FRAIS DE BUREAU ET ADMINISTRATIF : FORFAIT de frais Indirects DE 15% DES FRAIS DE PERSONNEL(AUCUN JUSTIFICATIF DE PMT N'EST  REQUIS)</t>
  </si>
  <si>
    <t>dont 164 207,49 FEDER</t>
  </si>
  <si>
    <t>dont 131 365,99 RW</t>
  </si>
  <si>
    <t>(chef de file : ulg)</t>
  </si>
  <si>
    <t>www,interregemr,eu</t>
  </si>
  <si>
    <t>Réhabilitation d'espaces  verts</t>
  </si>
  <si>
    <t>REMOUBAN (Smart City) HORIZON 2020</t>
  </si>
  <si>
    <t>financé par fonds européen H2020   :  5  ANS (2015 à 2019)</t>
  </si>
  <si>
    <t>projet FEDER</t>
  </si>
  <si>
    <t xml:space="preserve">quoi ? </t>
  </si>
  <si>
    <t>PROJETS innovants des sites industriels désaffectés de Seraing</t>
  </si>
  <si>
    <t xml:space="preserve">la ville de Seraing est représentée par l'arebs qui est sous-partenaire </t>
  </si>
  <si>
    <t>BUDGET AREBS</t>
  </si>
  <si>
    <t>75 600  pour le staff (+15%)</t>
  </si>
  <si>
    <t>20 000  pour faire appel à un entrepreneur pour installer le mobilier</t>
  </si>
  <si>
    <t>10 000  pour inauguration de l'installation du mobilier dans les parcs</t>
  </si>
  <si>
    <t>4 950   de frais de déplacement</t>
  </si>
  <si>
    <t>Chaque facture/BC/et preuve de paiement doit être enregistré :</t>
  </si>
  <si>
    <t>réseau/arebs/projets en cours/hub créatif/adm/déclaration financiere trimestrielle/2019-T2(choix de la période)/Pièce justificative</t>
  </si>
  <si>
    <t>ass  rc Adm   +- 650 eur/an</t>
  </si>
  <si>
    <t>( calculée par Partena est dans la ventillation comptable)</t>
  </si>
  <si>
    <t>Particularité des DC : elles sont établies pour la totalité et AVANT tout contrôle ! Ensuite on établit une DC négative pour 10%</t>
  </si>
  <si>
    <t>car finacement à 90 %    ET négatif aussi pour les éventuelles dépenses rejettées ===&gt;  adapter la CAE</t>
  </si>
  <si>
    <t>BUDGET ELIGIBLE : 328 414,98(100%)</t>
  </si>
  <si>
    <t>montant octroyé : 295 573,48 eur(90%)</t>
  </si>
  <si>
    <t xml:space="preserve">        = 295 573, 48 eur</t>
  </si>
  <si>
    <t>131,365,99 eur (40% de 100% 328 414,98 EUR)</t>
  </si>
  <si>
    <t>fréquence des  demandes de paiement : obligatoirement tous les  semestres: 30/06/  et 31/12 : quelle est l'échéance ?</t>
  </si>
  <si>
    <t>(si l'échéance n’est pas respectée les dépenses sont reportées au semestre suivant)</t>
  </si>
  <si>
    <t>CATEGORIES DE DEPENSES :</t>
  </si>
  <si>
    <t>2/ frais administratif et de bureau : 15 % des frais de personnel</t>
  </si>
  <si>
    <t>1/ frais de personnel : (voir ci-dessous) : taux  standard)</t>
  </si>
  <si>
    <t>4/ services   externes</t>
  </si>
  <si>
    <t>(revoir circulaire à partir de la page 38)</t>
  </si>
  <si>
    <t>voir à partir de la page 6 du catalogue dépenses éligibles)</t>
  </si>
  <si>
    <t>3/ frais de déplacement et d'hébergement : indemnité kilométrique =0,35 eur/km (voir circulaire page 45 et page 12 du catalogue des dépenses éligibles)</t>
  </si>
  <si>
    <t xml:space="preserve"> ( les  frais de parking sont éligibles)</t>
  </si>
  <si>
    <t>pas les frais de carburant ==&gt; voir page 14  du  catalogue)</t>
  </si>
  <si>
    <t xml:space="preserve">              </t>
  </si>
  <si>
    <t>( donc ne comptabiliser qu'à partir du moment où le produit est  certain = avis  cnc)</t>
  </si>
  <si>
    <t>en théorie c’est un  produit financier mais dans le bnb les subsides sont en 73 pour asbl</t>
  </si>
  <si>
    <t>même s'ils  sont enregistrés au bilan ils finissent tjr par être enregistrés en résultats</t>
  </si>
  <si>
    <t>la norme ias nr 20 précise qu'il faut  faire application du matching principel</t>
  </si>
  <si>
    <t xml:space="preserve">question : y a-t-il  des conditions non remplies à l'octroi du subside ainsi que des </t>
  </si>
  <si>
    <t>facteurs d'incertitudes</t>
  </si>
  <si>
    <t>rem: (avis cnc nr2011/13): la question de savoir quand le subside acquière un caractère</t>
  </si>
  <si>
    <t>certain est une question de fait qui doit être  tranchée au cas par  cas</t>
  </si>
  <si>
    <t>rem : une condition suspensive (ex; création d'emploi) empêche la comptabilisation du subside</t>
  </si>
  <si>
    <t xml:space="preserve">            ( avis nr 148/6  bull  nr 34)</t>
  </si>
  <si>
    <t>Evaluation de manière fiable en respectant le principe de prudence</t>
  </si>
  <si>
    <t xml:space="preserve">SI ACOMPTE reçus  avant que le subside ne puisse être considéré comme certain ==&gt; </t>
  </si>
  <si>
    <t>comptabilisation au  passif/dette ( Acomptes  reçus)</t>
  </si>
  <si>
    <t>voir s'il faut un 46</t>
  </si>
  <si>
    <t xml:space="preserve">rem : exemple de condition résolutoire ==&gt; les nouveaux  engagés doivent rester pendant </t>
  </si>
  <si>
    <t>2 ans dans l'entreprise ==&gt;  il faut comptabiliser le subside et mettre une mention dans l'annexe</t>
  </si>
  <si>
    <t>fichier pour enregistrer les PJ des dépenses ( factures et notes de frais) = projet en cours/npower/administratif/déclaraction de créance/DC AVEC CHOIX DE PERIODE</t>
  </si>
  <si>
    <t>6/ frais d'infrastructure</t>
  </si>
  <si>
    <t>LES DEPENSES DOIVENT ETRE PAYEES SUR LA PERIODE DE DC SINON REPORT SUR TRIMESTRE SUIVANT</t>
  </si>
  <si>
    <t>VOIR TOUS LES FICHIERS  EXCEL</t>
  </si>
  <si>
    <t>classe 2</t>
  </si>
  <si>
    <t>En cas de vente ou mise hors d'usage d'un investissement subsidiés il faut amortir complèement le subside</t>
  </si>
  <si>
    <t>SUBSIDES</t>
  </si>
  <si>
    <t>CLASSE 0</t>
  </si>
  <si>
    <t>LE fait que le maintien du subside est subordonné à certaines conditions doit être</t>
  </si>
  <si>
    <t>mentionné dans l'annexe parmi les droits en engagments hors  bilan</t>
  </si>
  <si>
    <t>(autorité subsidiante)</t>
  </si>
  <si>
    <t>rem : subsides vont en  73 ===&gt;  c’est dans la marge brute</t>
  </si>
  <si>
    <t>Les subsides sont à comptabiliser à la date à laquelle il acquièrent un caractère CERTAIN</t>
  </si>
  <si>
    <t>rem : condition suspensive est l'événement futur et incertain auquel est subordonné l'éxécution</t>
  </si>
  <si>
    <t>d'une obligation.La réalisation de la condition suspensive a pour conséquence de permettre</t>
  </si>
  <si>
    <t>l'obligation qui devient pure et simple. Cet effet se produit RETROACTIVEMENT au jour où</t>
  </si>
  <si>
    <t>l'obligation aurait du être exécutée si elle n'avait pas été affectée d'une condition suspensive.</t>
  </si>
  <si>
    <t>Une créance assortie d'une condition suspensive ne doit PAS être comptabilisée.</t>
  </si>
  <si>
    <t>rem : Une créance EVENTUELLE ne doit PAS être comptabilisée.</t>
  </si>
  <si>
    <t>Les subsides peuvent avoir un paiement immédiat,  ou par acompte ou étalé dans le temps==&gt;</t>
  </si>
  <si>
    <t>ici c’est par acompte et étalés  dans le temps</t>
  </si>
  <si>
    <t>Lorsqu'il y a un  droit de reprise du subside, il faut constituer UNE PROVISION</t>
  </si>
  <si>
    <t>QUESTION</t>
  </si>
  <si>
    <t>FAUT IL obligatoirement désigner un  réviseur ?</t>
  </si>
  <si>
    <t>CONSERVATION DES LIVRES ET DOCUMENTS COMPTABLES</t>
  </si>
  <si>
    <t>7 ANS</t>
  </si>
  <si>
    <t>LIVRE DES INVENTAIRES</t>
  </si>
  <si>
    <t>(voir Vivian)</t>
  </si>
  <si>
    <t>REMUNARATION</t>
  </si>
  <si>
    <t>ENVIRON 32 à 33 % d onss patronale ( suivant CP) (ouvrier = base à 108%)</t>
  </si>
  <si>
    <t>retenues personnelles = 13,07%</t>
  </si>
  <si>
    <t>rem : la provision inclus l'onss patronale</t>
  </si>
  <si>
    <t>remarque</t>
  </si>
  <si>
    <t>La prime de fin d'année est payée en décembre==&gt; pas de provision</t>
  </si>
  <si>
    <t>Y a  t il un précompte immobilier</t>
  </si>
  <si>
    <t>condordance ca et tva</t>
  </si>
  <si>
    <t>EXTRAIT DE COMPTE TVA</t>
  </si>
  <si>
    <t>contrôle</t>
  </si>
  <si>
    <t>Bilan de clôture N-1 = BILAN d'OUVERTURE N</t>
  </si>
  <si>
    <t>provision = ne jamais corriger un élément d'actif</t>
  </si>
  <si>
    <t>IMPOT DES PERSONNES MORALES</t>
  </si>
  <si>
    <t>Impot sur les asbl ( ???)</t>
  </si>
  <si>
    <t>voir l'existence d'un protocole de compensation entre client et frs ( même personne)</t>
  </si>
  <si>
    <t>transfert en 433 des solde bancaires négatifs</t>
  </si>
  <si>
    <t>COMPARER LE BUDGET AVEC LE REEL</t>
  </si>
  <si>
    <t>CSA art 3:47 §1er  al 2 ==&gt;</t>
  </si>
  <si>
    <t>Toute asbl doit établier un budget chaque année-Celui-ci doit être soumis pour approbation à l'assemblée</t>
  </si>
  <si>
    <t>générale dans les 6 mois de la date de clôture du dernier exercice clôturé-l'établissement de ce budget</t>
  </si>
  <si>
    <t>n'est pas soumis à des conditions de forme.</t>
  </si>
  <si>
    <t>rem : exceptionnel devient ==&gt;  non récurrent</t>
  </si>
  <si>
    <t>rem :   En compta CAE on reprend toutes les  charges réels acceptées ou non  et on compare a ce qui est accepté avec taux STD</t>
  </si>
  <si>
    <t>voir historique cae si codes = ok</t>
  </si>
  <si>
    <t>Il surveille que pas de dépassement, si c’est le cas une demande de transfert de poste peut être demandée, ce qui</t>
  </si>
  <si>
    <t>a été le cas, il attend une réponse pour octobre 2019.</t>
  </si>
  <si>
    <t>5/FRAIS d'équipement ; les amortiss du pc de CSO sont éligibles mais pas repris car pas budgétés (voir page 15/18)</t>
  </si>
  <si>
    <t>voir docuements chez Christopher</t>
  </si>
  <si>
    <t>divers-rémunérations :</t>
  </si>
  <si>
    <t>Le code 898 correspond à un montant net qui se trouve dans le compteur du travailleur et qui doit être</t>
  </si>
  <si>
    <t>récupéré sur la paie suivante</t>
  </si>
  <si>
    <t>1/DEMANDE INITIALE</t>
  </si>
  <si>
    <t>2/ACCORD</t>
  </si>
  <si>
    <t>3/REPONSE</t>
  </si>
  <si>
    <t xml:space="preserve">DEMANDER LES ACCES PLATEFORME </t>
  </si>
  <si>
    <t>POUR TOUS LES DOSSIERS  SUBSIDES  FAIRE UN DOSSIER PAPIER 5 0 CENTRALISER°</t>
  </si>
  <si>
    <t>rem :</t>
  </si>
  <si>
    <t>"hors Zone éligible" , vue Amélie, cela n'arrivera jamais, les dépenses doivent être faites dans la zone géographique déterminée(page 33 de la circulaire)</t>
  </si>
  <si>
    <t>Vérifier que tva à récupérer concerne uniquement refacturation cowo et ville ( aussi eriges ?)</t>
  </si>
  <si>
    <t>moins APE</t>
  </si>
  <si>
    <t>=à financer</t>
  </si>
  <si>
    <t>moins chiffre d'affaire</t>
  </si>
  <si>
    <t>= à financer ===&gt;  DEMANDE DE SUBSIDES</t>
  </si>
  <si>
    <t>Dépenses de base  : uniquement si éligibles</t>
  </si>
  <si>
    <t>Voir s'il faut provisionner des subsides à rembourser ( compte 167 PCMN)</t>
  </si>
  <si>
    <t>imputation CG ET CAE    du  facturier de sortie ====&gt; déjà contrôlé le premier semestre 2019</t>
  </si>
  <si>
    <t>travailleur sortis, ils doivent avoir reçu des écochèques</t>
  </si>
  <si>
    <t>comparer prov pec  vac  avec réel sp et dp</t>
  </si>
  <si>
    <t>décision en mai 2015</t>
  </si>
  <si>
    <t>stimuler les projets innovants sur des sites industriels désaffectés à partir de réflexion collectives innovante</t>
  </si>
  <si>
    <t>(reconversion de friches industrielles)</t>
  </si>
  <si>
    <t>La part Feder et part wallone peut faire l'objet d'une révision==&gt; une seule convention en global</t>
  </si>
  <si>
    <t>Les règles relatives aux marchés publics s'appiquent aux dépenses</t>
  </si>
  <si>
    <t>(l'arebs travaille en partenariat avec Liège créative)</t>
  </si>
  <si>
    <t>budget total approuve = 847 139,90   et feder octroi 338 855,96</t>
  </si>
  <si>
    <t>847 k jusque 2020, 2ETP+experts externes, comités créatifs, groupes de travails, events, accompagnement d'entreprise</t>
  </si>
  <si>
    <t>(c’est au christal hub que les réunions ont lieu)</t>
  </si>
  <si>
    <t>il y a 2 contrôles  puis déclaration de créance==&gt;  dès ce moment écriture 41 à 73</t>
  </si>
  <si>
    <t>si investissement==&gt; voir page 7 règles d'éligibilité==&gt; cela doit être des investissements spécifiques</t>
  </si>
  <si>
    <t>mettre cachet sur tous les documents==&gt; facture,bon de commande, extrait de compte</t>
  </si>
  <si>
    <t>les dépenses doivent être payées pendant le trimestres, sinon report sur le mois du paiement</t>
  </si>
  <si>
    <t>voir si il y a des provision</t>
  </si>
  <si>
    <t>mis en œuvre du Master Plan</t>
  </si>
  <si>
    <t xml:space="preserve">différence entre compta  cae  et déclaration de créances ==&gt; </t>
  </si>
  <si>
    <t>62 forfait taux horaire</t>
  </si>
  <si>
    <t>paiement sur période suivantes</t>
  </si>
  <si>
    <t>rejets suite  au 2eme contrôle</t>
  </si>
  <si>
    <t>notes de frais</t>
  </si>
  <si>
    <t>rem : il y a un budget par nature de charge, suivi par Sophie</t>
  </si>
  <si>
    <t xml:space="preserve"> vu Christopher, les différentes natures de charges sont regroupés en WP (work package)</t>
  </si>
  <si>
    <t>rem : les  travailleurs  peuvent être APE==&gt; dans ce  cas  déduire l'aide ==&gt;  c’est le cas de CSO</t>
  </si>
  <si>
    <t>voir si  THS est  supérieur ou inférieu au réel ==&gt;  supérieur puisque x par 1,2</t>
  </si>
  <si>
    <t>règles  valable pour tous les subsides : ne pas confondre les Avances  et les  subsides promérités</t>
  </si>
  <si>
    <t>(toujours voir le trimestre précendent pour des dépenses payées sur le trimestre suivant)</t>
  </si>
  <si>
    <t>ordre : déclaration de dépenses, puis 1er contrôle,  puis déclaration de créance sous format word, puis dernier contrôle se fait sur place</t>
  </si>
  <si>
    <t>131,365,99</t>
  </si>
  <si>
    <t>65 683</t>
  </si>
  <si>
    <t xml:space="preserve">FONDS PROPRES </t>
  </si>
  <si>
    <t>fichier word pour déclaration de créance : arebs/projets en cours/npower/admnistratif/ déclaration de créance</t>
  </si>
  <si>
    <t xml:space="preserve">relevé trimestriel des dépenses </t>
  </si>
  <si>
    <t>dans le fichier excel, reprendre les mot clés : ex.   Communication</t>
  </si>
  <si>
    <t>90% des dépenses</t>
  </si>
  <si>
    <t>=&gt;  si pas éligible, mettre en   NR</t>
  </si>
  <si>
    <t>1er contrôle ===&gt; 5 jours pour répondre, puis second contrôle, puis DC faite par Sophie</t>
  </si>
  <si>
    <t>s'il manque des bons de commande prévenir Sophie</t>
  </si>
  <si>
    <t>dépenses avec bc</t>
  </si>
  <si>
    <t>15% des rémunérations</t>
  </si>
  <si>
    <t xml:space="preserve">rémunérations = heures x taux std </t>
  </si>
  <si>
    <t>puis 90%</t>
  </si>
  <si>
    <t>(Laure est considérée pour tout son mi temps comme travaillant  pour le Hub)</t>
  </si>
  <si>
    <t xml:space="preserve">===&gt; frais indirects </t>
  </si>
  <si>
    <t>voir  règles d’éligibilité des dépenses</t>
  </si>
  <si>
    <t>nouveau CSA</t>
  </si>
  <si>
    <t>Livre 3   art 3:48 et 3:52</t>
  </si>
  <si>
    <t>===&gt; un rapport de gestion est imposé aux asbl</t>
  </si>
  <si>
    <t xml:space="preserve">le 13 eme mois et la rem du personnel qui a quitté en cours d'année n’est pas inclus dans la </t>
  </si>
  <si>
    <t>base de calcul</t>
  </si>
  <si>
    <t>( seul les heures réellement prestées sont prises en considération)</t>
  </si>
  <si>
    <t xml:space="preserve">Max 10heures par jours  et 1 720  heures par an </t>
  </si>
  <si>
    <t>Rem : encodage trimestriel  DES DEPENSES et DC semestriel</t>
  </si>
  <si>
    <t xml:space="preserve">suivant email de mr Defawe, il faut systématiser l'envoi des DC papier au moment de l'introduction des dépenses auprès de FLC  </t>
  </si>
  <si>
    <t xml:space="preserve">, </t>
  </si>
  <si>
    <t xml:space="preserve">à chaque DC   doit correspondre un  rapport de FLC   </t>
  </si>
  <si>
    <t>(demande de prolongation jusque juin 2021 acceptées)</t>
  </si>
  <si>
    <t xml:space="preserve">LES DEPENSES DOIVENT ËTRE PAYEES  SUR LE MËME TRIMESTRE QUE LA FACTURE SINON REPORT SUR LE TRIMESTRE SUIVANT </t>
  </si>
  <si>
    <t>sur le réseau il y a le lien internet  EMS</t>
  </si>
  <si>
    <t>faut-il que le paiments des factures se fassent sur la période de déclaration ??</t>
  </si>
  <si>
    <t>les timesheet Amélie sont classés avec le dossier Npower</t>
  </si>
  <si>
    <t>(sinon : projets en cours/ seramco/adm/dc/timesheet)</t>
  </si>
  <si>
    <t>( c’est l'ulg qui introduit les dépenses dans interreg)</t>
  </si>
  <si>
    <t>(donc sub = 90%  ===&gt; il faut 2dc, une à 100%  et une négative à 10%</t>
  </si>
  <si>
    <t>heures prestées X taux horaire suivant rémunération</t>
  </si>
  <si>
    <t>+ 15 % sur rémunération</t>
  </si>
  <si>
    <t>+ frais avec PJ</t>
  </si>
  <si>
    <t xml:space="preserve"> X 90 %'</t>
  </si>
  <si>
    <t>"=total frais engagés</t>
  </si>
  <si>
    <t>= subsides promérités à acter en produit en compta</t>
  </si>
  <si>
    <t>Déclaration tout les 6 mois</t>
  </si>
  <si>
    <t>Laurence Poncelet est le contatct</t>
  </si>
  <si>
    <t>info en octobre d'Amélie : il y a un budget restant, il faut peut être faire des transferts de budget</t>
  </si>
  <si>
    <t>(salaire x 1,2) ( 100x0,80)  ==&gt;</t>
  </si>
  <si>
    <t>0,80 car 4/5 eme temps</t>
  </si>
  <si>
    <t>voir rémunération de ABA ect qui sont imputés en partie</t>
  </si>
  <si>
    <t>rem : dépenses de labellisation de 2018 ==&gt; inéligible ==&gt; nc de 2019 pas en déduction</t>
  </si>
  <si>
    <t>(avis cnc 2019/12) toute asbl doit établir un budget chaque année. Celui-ci doit être soumis pour approbation à</t>
  </si>
  <si>
    <t xml:space="preserve">l'assemblée générale dans les 6 mois de la date de clôture du dernier exercie clôturé. L'établissement de ce </t>
  </si>
  <si>
    <t>budget n'est pas soumis à des conditions de forme.</t>
  </si>
  <si>
    <t>calcul du résultat sur projet :</t>
  </si>
  <si>
    <t xml:space="preserve">comparer charges réelles en compta, y compris celles qui doivent être réparties ex AJO19 à comparer avec les subsides ( qui sont = aux dépenses </t>
  </si>
  <si>
    <t>éligibles) ==&gt; les différences peuvent venir des forfait pour cout indirects ou diff entre charges réelles des rémunérations et THS)</t>
  </si>
  <si>
    <t>===&gt; tout ce qui doit être répartis comme rémunération doit l'être avant de pouvoir calculer le résultat)</t>
  </si>
  <si>
    <t>( aussi pour calculer le résultat du projet  tout doit être dedans ex rémunération de CSO )</t>
  </si>
  <si>
    <t>CONCLUSION POUR LE 31/12  +++&gt;   FAIRE TOUTES LES REPARTITION DES REMUNERATIONS EN CAE</t>
  </si>
  <si>
    <t>voir si toutes les FE sont reçues ==&gt; exemple rémunération de Christopher facturé par la  ville</t>
  </si>
  <si>
    <t>(ex  AJO19)</t>
  </si>
  <si>
    <t xml:space="preserve"> imputation cae FDE : 2/3 à l'arebs dont 2/5 à la ville  et 1/3 alpi</t>
  </si>
  <si>
    <t>pour 2019 il y a un dépassement de subside si on laisse CDE en remourban, donc pour tenir plus longtemps</t>
  </si>
  <si>
    <t>on met CDE en NR à partir d'octobre 2019</t>
  </si>
  <si>
    <t>ecriture</t>
  </si>
  <si>
    <t>faire un reclass  dans cpte 610006  charges locatives</t>
  </si>
  <si>
    <t>(équipement informatique non éligible)</t>
  </si>
  <si>
    <t>honoraires à prévoir ?</t>
  </si>
  <si>
    <t>453/454/455  plus haut que n-1 si plus d'etp ? Pas tjrs proportionnel, voir quand on lieu les sorties et</t>
  </si>
  <si>
    <t>quand arrivent les nouveaux</t>
  </si>
  <si>
    <t>écriture</t>
  </si>
  <si>
    <t>loyer à indexer - compte 700000</t>
  </si>
  <si>
    <t>classe 6  vers  classe 2</t>
  </si>
  <si>
    <t>au 31/12 transfert  vers  charges locatives  compte 610006</t>
  </si>
  <si>
    <t xml:space="preserve">contrôle </t>
  </si>
  <si>
    <t>résultat par projet</t>
  </si>
  <si>
    <t>question</t>
  </si>
  <si>
    <t>pv de sortie  est-ce à mettre en cae du projet ?</t>
  </si>
  <si>
    <t>maintenance informatique ==&gt;  CR</t>
  </si>
  <si>
    <t>reclass  solde  crediteurs  clients</t>
  </si>
  <si>
    <t>reclass  solde  débiteurs frs</t>
  </si>
  <si>
    <t>reclasse   solde crediteurs banque</t>
  </si>
  <si>
    <t>comparer classe 6  et  7  sur 2  exercices</t>
  </si>
  <si>
    <t>reprise de provision</t>
  </si>
  <si>
    <t xml:space="preserve">écriture </t>
  </si>
  <si>
    <t>évaluation  28</t>
  </si>
  <si>
    <t>affectation ou se  fait  seul ?</t>
  </si>
  <si>
    <t>compte 619900 frais divers =compte de répartition analytique</t>
  </si>
  <si>
    <t>lien entre achat et vente à refacturer</t>
  </si>
  <si>
    <t>solde banque</t>
  </si>
  <si>
    <t>régularisation annuelle assurance loi</t>
  </si>
  <si>
    <t>frais de resto pour le personnel, tva 100% déductible si avec facture</t>
  </si>
  <si>
    <t>fourniture de boissons gratuite pour le personnel==&gt; tva 100% déductible</t>
  </si>
  <si>
    <t>réconciliation interco ==&gt;   voir Eriges</t>
  </si>
  <si>
    <t>453 = décembre  454 = t4  455= dernier mois</t>
  </si>
  <si>
    <t>cpte 433</t>
  </si>
  <si>
    <t>RDV 407/409/634/642</t>
  </si>
  <si>
    <t>justifier 489000</t>
  </si>
  <si>
    <t>S1 2018</t>
  </si>
  <si>
    <t>Dépenses(1)</t>
  </si>
  <si>
    <t>T3 2018</t>
  </si>
  <si>
    <t>T4/2018</t>
  </si>
  <si>
    <t>En compta au 31/12/2018</t>
  </si>
  <si>
    <t>=80% des dépenses (1)</t>
  </si>
  <si>
    <t>40% des dépenses(1)</t>
  </si>
  <si>
    <t>EMS</t>
  </si>
  <si>
    <t>Déclaré</t>
  </si>
  <si>
    <t>Périodes</t>
  </si>
  <si>
    <t>S1   version 1</t>
  </si>
  <si>
    <t>s1 version2</t>
  </si>
  <si>
    <t>T3 Version 1</t>
  </si>
  <si>
    <t>t3 version 2</t>
  </si>
  <si>
    <t>T 4 Version 1</t>
  </si>
  <si>
    <t>T 4 Version 2</t>
  </si>
  <si>
    <t xml:space="preserve">EMS  </t>
  </si>
  <si>
    <t>Accepté</t>
  </si>
  <si>
    <t>(=100%)</t>
  </si>
  <si>
    <t>ELIGIBLE</t>
  </si>
  <si>
    <t>(40%)</t>
  </si>
  <si>
    <t>Différence entre</t>
  </si>
  <si>
    <t>version 1 et 2 '(2)</t>
  </si>
  <si>
    <t>(2) pour prochaine DC</t>
  </si>
  <si>
    <t>Récupération</t>
  </si>
  <si>
    <t>à recevoir</t>
  </si>
  <si>
    <t>(3)</t>
  </si>
  <si>
    <t>avance'(4)</t>
  </si>
  <si>
    <t>DC '(40%)'(3)</t>
  </si>
  <si>
    <t>(3)-'(4)</t>
  </si>
  <si>
    <t>(5)</t>
  </si>
  <si>
    <t>(5) suivant email du 25/11 Defawe Olivier</t>
  </si>
  <si>
    <t>avance totale versée en 2018</t>
  </si>
  <si>
    <t>solde  avance</t>
  </si>
  <si>
    <t>différence entre 40% compta</t>
  </si>
  <si>
    <t>et 40 %  DC</t>
  </si>
  <si>
    <t>compte</t>
  </si>
  <si>
    <t>remarque : lors de la prochaine DC pour le montant de la différence entre les deux  versions le total de 3816,75 et 5287,55 sera pris en compte 76</t>
  </si>
  <si>
    <t>estimées</t>
  </si>
  <si>
    <t>T1/2019</t>
  </si>
  <si>
    <t>T2/2019</t>
  </si>
  <si>
    <t>T3/2019</t>
  </si>
  <si>
    <t>COMPTE 414621 ET</t>
  </si>
  <si>
    <t>(1) suivant email CSO du 25/04/2019</t>
  </si>
  <si>
    <t>pour le 31/12/2019   ajouter les  autres 40%</t>
  </si>
  <si>
    <t>12/2018       69 622,40</t>
  </si>
  <si>
    <t>19 704,90 avance 12/2018 (0)</t>
  </si>
  <si>
    <t>(1)</t>
  </si>
  <si>
    <t>69 622,40         12/2018  (1)</t>
  </si>
  <si>
    <t>(0) 12/2018 avance 19 704,90</t>
  </si>
  <si>
    <t>(2)  date ?                   11 934,46</t>
  </si>
  <si>
    <t>11 934,46  DATE ,?    (2)</t>
  </si>
  <si>
    <t>11 704,90  récup  avance date?(3)</t>
  </si>
  <si>
    <t>(diff = 229,56  versé)</t>
  </si>
  <si>
    <t>récup avance 11 704,90</t>
  </si>
  <si>
    <t>(4) date</t>
  </si>
  <si>
    <t>5 984,58 date ?           (4)</t>
  </si>
  <si>
    <t>(2) et (3) sommes à recevoir moins déduction de l'avance '+(4) et (5)</t>
  </si>
  <si>
    <t xml:space="preserve"> 5 000,00  récup avance date ? (5)</t>
  </si>
  <si>
    <t>(diff= 984,58 versé)</t>
  </si>
  <si>
    <t>récup  avance   5 000,00</t>
  </si>
  <si>
    <t>(6)                                        779,78</t>
  </si>
  <si>
    <t>779,78                            (6)</t>
  </si>
  <si>
    <t>4 711,47                         (6')</t>
  </si>
  <si>
    <t>(6)                                     4 711,47</t>
  </si>
  <si>
    <t>(6) et (6')</t>
  </si>
  <si>
    <t>diff  entre prov et versé</t>
  </si>
  <si>
    <t>voir bon de commande chez Laure</t>
  </si>
  <si>
    <t>Vérifier  tva  déduite=&gt; vu journal des achat de mars à octobre</t>
  </si>
  <si>
    <t>FE EUREGIO</t>
  </si>
  <si>
    <t>FLC 1,65%</t>
  </si>
  <si>
    <t>ok s/14961,44</t>
  </si>
  <si>
    <t>ok s/29836,15</t>
  </si>
  <si>
    <t>ok s/28180,32</t>
  </si>
  <si>
    <t>ok s/17042,37</t>
  </si>
  <si>
    <t>ok s/16712,77</t>
  </si>
  <si>
    <t>ok s/34379,44</t>
  </si>
  <si>
    <t>ok s/39378,02</t>
  </si>
  <si>
    <t>Messieurs,</t>
  </si>
  <si>
    <t>Nous vous prions de croire, Messieurs, en l'assurance de notre parfaite considération.</t>
  </si>
  <si>
    <t>T4/2019</t>
  </si>
  <si>
    <t>OK S/34131,71</t>
  </si>
  <si>
    <t>(sur accepté)</t>
  </si>
  <si>
    <t>PMT</t>
  </si>
  <si>
    <t>rapport nr</t>
  </si>
  <si>
    <t>COMPTES</t>
  </si>
  <si>
    <t>il faut copie facture + preuve de paiement + copie des fiches de paies+times sheet</t>
  </si>
  <si>
    <t>(100%)</t>
  </si>
  <si>
    <t>Bureau de Sécurité juridique</t>
  </si>
  <si>
    <t>de Liège 3</t>
  </si>
  <si>
    <t>Rue de Fragnée 2 bte 22</t>
  </si>
  <si>
    <t>Concerne : déclaration Taxe compensatoire des droits de succession.</t>
  </si>
  <si>
    <t xml:space="preserve">Nous vous prions de trouver en annexe notre déclaration annuelle en matière de la </t>
  </si>
  <si>
    <t>Pouvez-vous s'il vous plait nous communiquer vos coordonnées bancaires afin que</t>
  </si>
  <si>
    <t>Celles-ci ne figurent pas dans votre courrier.</t>
  </si>
  <si>
    <t>F.DETALLE</t>
  </si>
  <si>
    <t>Directrice</t>
  </si>
  <si>
    <t>EN 2019 ++&gt; à partir du 1/04/2019 au 31/12/2019 ==&gt; pas de subside accordé</t>
  </si>
  <si>
    <t>On reprend sur une déclaration de créance les dépenses PAYEES sur la période de déclaration;</t>
  </si>
  <si>
    <t xml:space="preserve">or on n'a retrouvé aucun document qui indique qu'il faut reprendre uniquement les </t>
  </si>
  <si>
    <t>dépenses PAYEES</t>
  </si>
  <si>
    <t>Pour les chèques entreprises voir s'il y a des prestations de coaching qui ont déjà eu lieu pendant l'année et qui ne sont pas encore</t>
  </si>
  <si>
    <t>terminées et qui doivent dès lors être pris en facture à établir (cmd encours)</t>
  </si>
  <si>
    <t xml:space="preserve">voir si les RDV s/client douteux des années antérieures doivent faire l'objet d'une reprise et moins value  </t>
  </si>
  <si>
    <t>UIA</t>
  </si>
  <si>
    <t>IL FAUT LES PREUVES DE PAIEMENT</t>
  </si>
  <si>
    <t>DC quand 35% du budget est atteint</t>
  </si>
  <si>
    <t>tous les frais de loyer(rue françois) , chauffage, electricité, assurance, … peuvent être imputés sur UIA</t>
  </si>
  <si>
    <t>cumul</t>
  </si>
  <si>
    <t>eco</t>
  </si>
  <si>
    <t>rémunération : réelles totales PAYEES qu'elles soient PRESTEES OU NON</t>
  </si>
  <si>
    <t>COMMERCIAL NORD SCS</t>
  </si>
  <si>
    <t>Monsieur Patrick Foret</t>
  </si>
  <si>
    <t>Chaussée de Lille 327/04</t>
  </si>
  <si>
    <t>7500             TOURNAI</t>
  </si>
  <si>
    <t>MISE EN DEMEURE</t>
  </si>
  <si>
    <t>Monsieur,</t>
  </si>
  <si>
    <t>Concerne : votre compte en nos livres</t>
  </si>
  <si>
    <t>RECOMMANDE</t>
  </si>
  <si>
    <t>Votre compte en nos livres présente toujours un solde en notre faveur de 217,80 eur et ce malgré</t>
  </si>
  <si>
    <t>plusieures rappels par mails et un recommandé qui nous a été retourné.</t>
  </si>
  <si>
    <t>Il s'agit de notre facture nr 200032 du 12/03/2020 de 217,80 eur dont vous trouverez un exemplaire</t>
  </si>
  <si>
    <t>en annexe.</t>
  </si>
  <si>
    <t>compte suivant :</t>
  </si>
  <si>
    <t>BE 56 6342 0666 0188</t>
  </si>
  <si>
    <t>Nous vous remercions d'avance et vous prions de croire, Monsieur Foret, en l'assurance  de notre</t>
  </si>
  <si>
    <t>parfaite considération.</t>
  </si>
  <si>
    <t xml:space="preserve">                                                                                                                   Seraing, le 17/12/2020.</t>
  </si>
  <si>
    <t xml:space="preserve">Nous vous prions dès lors de payer cette somme pour le 28 décembre 2020 au plus tard sur le </t>
  </si>
  <si>
    <t xml:space="preserve">        LIEGE</t>
  </si>
  <si>
    <t xml:space="preserve">                                                                                                                   Seraing, le 11/03/2021.</t>
  </si>
  <si>
    <t>taxe compensatoire des droits de succession pour l'année d'imposition 2021.</t>
  </si>
  <si>
    <t>nous puission procéder au paiement au plus tard le 31/03/2021.</t>
  </si>
  <si>
    <t>Ville de SERAING</t>
  </si>
  <si>
    <t>à l'att de Madame Virginie di NOTTE</t>
  </si>
  <si>
    <t>Place communale nr 1</t>
  </si>
  <si>
    <t>SERAING</t>
  </si>
  <si>
    <t>Je soussignée, Florence Detalle, directrice de l'Arebs, déclare qu'il est dû à notre organisme</t>
  </si>
  <si>
    <t>la somme de 200.000 euros ( deux cent mille euros). Ce montant correspond au montant</t>
  </si>
  <si>
    <t xml:space="preserve">versé à ce jour sous forme de primes aux commerçants et TPE sérésiens ( plan de </t>
  </si>
  <si>
    <t>relance-covid19). Pourriez-vous verser le montant au plus vite sur le compte :</t>
  </si>
  <si>
    <t>BE56 6342 0666 0188 ouvert au nom de l'Arebs auprès de la banque Nagelmackers.</t>
  </si>
  <si>
    <t>Florence DETALLE</t>
  </si>
  <si>
    <t>Certifié sincère et véritable,</t>
  </si>
  <si>
    <t>DECLARATION DE CREANCE : AREBS-Aides commerces et TPE "covid" Tranche nr 2</t>
  </si>
  <si>
    <t>Seraing, le 15 janvier 2021</t>
  </si>
  <si>
    <t>DECLARATION DE CREANCE : AREBS-Soutien Covid à l'asbl ICAR</t>
  </si>
  <si>
    <t>la somme de 70.000 euros ( septante mille euros). Ce montant correspond au montant</t>
  </si>
  <si>
    <t>des chèques commerces d'une valeur de 25 euros qui seront remis à l'asbl ICAR suivant</t>
  </si>
  <si>
    <t>Pourriez-vous verser le montant au plus vite sur le compte :</t>
  </si>
  <si>
    <t>copie de la convention du 18/05/2021 en annexe.</t>
  </si>
  <si>
    <t>Seraing, le 31 mai 2021</t>
  </si>
  <si>
    <t xml:space="preserve">                                                                                                                   Seraing, le 11/06/2021.</t>
  </si>
  <si>
    <t>BELFIUS BANQUE SA</t>
  </si>
  <si>
    <t>Place Charles Rogier nr11</t>
  </si>
  <si>
    <t>1210            BRUXELLES</t>
  </si>
  <si>
    <t>Concerne : levée d'hypothèque</t>
  </si>
  <si>
    <t>Nous avons toujours une hypothèque chez vous, celle-ci n'a plus aucune raison d'être.</t>
  </si>
  <si>
    <t>Pouvez-vous dès lors lever cette hypothèque et nous confirmer cela.</t>
  </si>
  <si>
    <t>Suivant l'aperçu des crédits émanant de chez vous celle-ci port de numéro de dossier 120052</t>
  </si>
  <si>
    <t>et numéro de sûreté 86 171  pour un montant de 22 310,42 euros.</t>
  </si>
  <si>
    <t>Nous vous remercions d'avance et vous prions de croire, Messieurs , en l'assurance  de notre</t>
  </si>
  <si>
    <t>CONVENTION DE RUPTURE D'UN COMMUN ACCORD</t>
  </si>
  <si>
    <t>Entre les parties,</t>
  </si>
  <si>
    <t>d'une part,</t>
  </si>
  <si>
    <t>AREBS ASBL dont le siège social est établi à 4100 Seraing, rue Cockerill, 40 , représenté par</t>
  </si>
  <si>
    <t>Madame Florence DETALLE, agissant en qualité de directrice, dénommé ci après "l'employeur"</t>
  </si>
  <si>
    <t xml:space="preserve">et d'autre part, </t>
  </si>
  <si>
    <t>Madame Christelle Degard, résidant à 4020 Liège, Quai Bonaparte nr 58</t>
  </si>
  <si>
    <t>appelée ci-après " le travailleur" ;</t>
  </si>
  <si>
    <t xml:space="preserve">Il est convenu ce qui suit : </t>
  </si>
  <si>
    <t>Article  1</t>
  </si>
  <si>
    <t>Conformément aux dipositions de l'article 1134 du Code Civil, le contrat de travail liant les</t>
  </si>
  <si>
    <t>soussignés prend fin, de leur accord commun, le 25/06/2021.</t>
  </si>
  <si>
    <t>Cette cessation des relations de travail ne s'accompagne donc d'aucune notification de préavis</t>
  </si>
  <si>
    <t>ni d'aucun paiement d'une quelconque indemnité compensatoire de prévis.</t>
  </si>
  <si>
    <t>Article 2</t>
  </si>
  <si>
    <t>Moyennant l'exécution de la présente convention, chacune des parties renonce à se prévaloir</t>
  </si>
  <si>
    <t>à l'égard de l'autre de tous droits nés ou à naître en raison ou à l'occasion des relations de</t>
  </si>
  <si>
    <t>travail ayant existé entre elles.</t>
  </si>
  <si>
    <t>De plus, chaque partie renonce à se prévaloir de toute erreur de droit ou de fait et de toute</t>
  </si>
  <si>
    <t>omission relatives à l'existence ou à l'étendue de ses droits.</t>
  </si>
  <si>
    <t>Fait à Seraing, le 23/06/2021, en deux exemplaires, chaque partie reconnaissant avoir reçu le sien.</t>
  </si>
  <si>
    <t>Pour accord, le travailleur, Christelle DEGARD              Pour accord, l'employeur, Florence DETALLE</t>
  </si>
  <si>
    <t>DECLARATION DE CREANCE : AREBS-Aides commerces et TPE "covid" Tranche nr 4</t>
  </si>
  <si>
    <t>Seraing, le 29 juillet  2021</t>
  </si>
  <si>
    <t>DECLARATION DE CREANCE : AREBS-ACTIVITE MUSEALE AU VAL SAINT LAMBERT- RELANCE "Post Covid"</t>
  </si>
  <si>
    <t>la somme de 20.073 euros ( Vingt mille septante trois euros). Ce montant correspond au montant</t>
  </si>
  <si>
    <t>repris à l'article 2 "Modalités de mise en œuvre du soutien" de la convention du 20 juillet 2021</t>
  </si>
  <si>
    <t>Seraing, le 29 juillet 2021</t>
  </si>
  <si>
    <t>Seraing, le 29 juillet 2021.</t>
  </si>
  <si>
    <t>Administration communale de Seraing</t>
  </si>
  <si>
    <t>Service comptabilité</t>
  </si>
  <si>
    <t>Place Kuborm  5</t>
  </si>
  <si>
    <t>Madame, Monsieur</t>
  </si>
  <si>
    <t>Vos bons de commande en annexe portent les numéros 1119 et 1180, avec  comme référence "Chèques</t>
  </si>
  <si>
    <t>commerces Covid menbres personnel Col 7 du 05/02/2021.</t>
  </si>
  <si>
    <t>Pourriez-vous verser le montant de 21 520 eur ( vingt et un mille cinq cent vingt euro) sur le compte :</t>
  </si>
  <si>
    <t>Les 13 et 28 juillet nous vous avons livré au total 538 chèques commerces d'une valeur faciale de 40 euros.</t>
  </si>
  <si>
    <t>Nous vous remercions d'avance et vous prions de recevoir nos meilleures salutations.</t>
  </si>
  <si>
    <t>Senen RODRIGUEZ DIAZ</t>
  </si>
  <si>
    <t>rue de la Station nr 79/22</t>
  </si>
  <si>
    <t>4430   ANS</t>
  </si>
  <si>
    <t>senen_28@outlook.com</t>
  </si>
  <si>
    <t>gsm : 049 515 09 88</t>
  </si>
  <si>
    <t>COMEDIEN ET ACTEUR DE PETITE TAILLE : 138 CM</t>
  </si>
  <si>
    <t xml:space="preserve">                 </t>
  </si>
  <si>
    <t>DOMAINES : Films, court-métrage, caméra cachée, séries, clip, pub, théâtre, stages,événementiel</t>
  </si>
  <si>
    <t>FILMS</t>
  </si>
  <si>
    <t>2021 : "Le Paradis terrestre" réalisateur Henri van Lierde- rôle : prélats - Ostende Belgique</t>
  </si>
  <si>
    <t>2011 : "Mais qui a retué Paméla Rose ?" réalisateur Kad Mérad et Olivier- rôle : Twekie le Saint-Bernard- Paris France</t>
  </si>
  <si>
    <t>2011: "Dead Man Talkin" réalisateur Patrick Ridremont, rôle : sihoutte basketteur - Virton Belgique</t>
  </si>
  <si>
    <t>2010 : "Sur la piste du Marsupilami" réalisateur Alain Chabat, rôle : un détenu - Bruxelles Belgique</t>
  </si>
  <si>
    <t>2008 : "La chanteuse de Tango " réalisateur Diego Martinez, rôle : patron de café, Boulogne sur mer France</t>
  </si>
  <si>
    <t>COURTS-METRAGE</t>
  </si>
  <si>
    <t>2020 : Sam Speed - école Ritcs Malines Belgique</t>
  </si>
  <si>
    <t>2017 : Non Merco - réalisateur Jochin de Sadl- rôle d'un plombier</t>
  </si>
  <si>
    <t xml:space="preserve">        : rôle d'un chef coq</t>
  </si>
  <si>
    <t>2014 : Footrebal , réalisateur Léopold Legrand, rôle d'un invité, Insas Bruxelles</t>
  </si>
  <si>
    <t>2014 : Et le corps tombait, réalisateur Rodrigue Cortil, rôle porteur de parapluie pour un petit chien, Belgique</t>
  </si>
  <si>
    <t>CAMERA CACHEE</t>
  </si>
  <si>
    <t>2012 : "On n’est pas des pigeons" rôle, serviteur d'un conte piégé des marabouts dans un château en Belgique</t>
  </si>
  <si>
    <t>2008 : "6 caméras cachées" Namur Charleroi et Bruxelles diffusé dans 60 pays_Juking Around Production Heynens</t>
  </si>
  <si>
    <t>SERIES</t>
  </si>
  <si>
    <t>2022 : " Baraki" saison 2, réalisateur Adolf Elastal, rôle de Fanfan, Charleroi Belgique</t>
  </si>
  <si>
    <t>2022 : " Ovni" saison 2 sur canal+, réalisateur Antony Cordier, rôle d'un Grom</t>
  </si>
  <si>
    <t>2021 : " Ovni" saison 1 sur canal +, réalisateur Antony Cordier, rôle silhouette ufologue</t>
  </si>
  <si>
    <t>2020 : " Les rivières pourpres" saison 3, rôle, silhouette d'un sorcier</t>
  </si>
  <si>
    <t>2020 : "Baraki" saison 1, réalisateur Adolf Elastal, rôle de Fanfan, Charleroi Belgique</t>
  </si>
  <si>
    <t>2020 : "Dans le village du père Noêl" en Laponie pour Netfix, réalisateur Adolf Elastal, rôle d'Oscar un sorcier, Laponie</t>
  </si>
  <si>
    <t>2018 : "Zone Blanche" saison 2, rôle d'un mécanicien</t>
  </si>
  <si>
    <t>2018 : "Les Mystères de l'Amour", rôle d'un indic, Paris France</t>
  </si>
  <si>
    <t>2017 : "Funcorp" rôle d'un régisseur, Bruxelles Belgique</t>
  </si>
  <si>
    <t>2016 : "Nouna et Félix" série pilote, rôle de Joseph, Bruxelles Belgique</t>
  </si>
  <si>
    <t>CLIPS</t>
  </si>
  <si>
    <t>2019 :" Monsieur Quarto JR" rôle d'un garde du corps, Liège Belgique</t>
  </si>
  <si>
    <t>2012 : "Ombaicnco" production Emlkina Eu, réalisateur Véronika Kalpazak, rôle d'un mécanicien</t>
  </si>
  <si>
    <t>PUBLICITES</t>
  </si>
  <si>
    <t>2021 : Orange, les retrouvailles -réalisateur Francois Rousselet, rôle d'un bonhomme de neige, Kiev Ukraine</t>
  </si>
  <si>
    <t>2014 : Danette, rôle d'un martien, Bruxelles Belgique</t>
  </si>
  <si>
    <t>2008 : La Banque Populaire, rôle d'un lutin</t>
  </si>
  <si>
    <t>2008 : AXA Banque, rôle d'un coupeur de courant, Belgique</t>
  </si>
  <si>
    <t>2008 : "Plu TV" rôle d'un sorteur, Bruxelles Belgique</t>
  </si>
  <si>
    <t>2008 : Mac Donald, réalisateur Alain Berliner, rôle d'un chef coq, Bruxelles Belgique</t>
  </si>
  <si>
    <t>THEATRE</t>
  </si>
  <si>
    <t>2008 à 2024 : Atelier de création collective avec présentations au public, metteur en scène Luc Jaminet</t>
  </si>
  <si>
    <t>2022 : "El Turco in Italia" Opéra Royal de Liège, mise en scène Fabrice Murcia, rôle d'un preneur de son</t>
  </si>
  <si>
    <t>2006 à 2008 : Formation de la Province de Liège promotion sociale, comédien, mise en scène Luc Jaminet</t>
  </si>
  <si>
    <t>STAGES</t>
  </si>
  <si>
    <t>2006 à 2023 ; 7 stages à l'AKDT de Neuchâteau Belgique</t>
  </si>
  <si>
    <t xml:space="preserve">Masque comédien de l'arte et les balinais , Serge Paucelet, Alphabet Théâtre méthode Stanislaski Boris Rabey Moscou, </t>
  </si>
  <si>
    <t>mine de Marcel Marceau donné par Elené Serra</t>
  </si>
  <si>
    <t>Mikael Chekhov, donné par Nathalie Yalon - Face caméra - Stéphane Carpiaux</t>
  </si>
  <si>
    <t xml:space="preserve">EVENEMENTIEL </t>
  </si>
  <si>
    <t>2006 à 2024 : diverses animations de soirées privées et publiques en France, Belgique, Suisse</t>
  </si>
  <si>
    <t>SPORT</t>
  </si>
  <si>
    <t>karaté et vélo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</si>
</sst>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Baskerville Old Face"/>
      <family val="1"/>
    </font>
    <font>
      <u/>
      <sz val="11"/>
      <color theme="10"/>
      <name val="Calibri"/>
      <family val="2"/>
      <scheme val="minor"/>
    </font>
    <font>
      <sz val="11"/>
      <color theme="1"/>
      <name val="Baskerville Old Face"/>
      <family val="1"/>
    </font>
    <font>
      <u/>
      <sz val="11"/>
      <color theme="10"/>
      <name val="Baskerville Old Face"/>
      <family val="1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/>
    <xf numFmtId="4" fontId="0" fillId="0" borderId="1" xfId="0" applyNumberFormat="1" applyBorder="1"/>
    <xf numFmtId="4" fontId="0" fillId="2" borderId="1" xfId="0" applyNumberFormat="1" applyFill="1" applyBorder="1"/>
    <xf numFmtId="4" fontId="2" fillId="0" borderId="0" xfId="0" applyNumberFormat="1" applyFont="1"/>
    <xf numFmtId="4" fontId="2" fillId="0" borderId="1" xfId="0" applyNumberFormat="1" applyFont="1" applyBorder="1"/>
    <xf numFmtId="4" fontId="2" fillId="2" borderId="1" xfId="0" applyNumberFormat="1" applyFont="1" applyFill="1" applyBorder="1"/>
    <xf numFmtId="0" fontId="2" fillId="0" borderId="0" xfId="0" applyFont="1"/>
    <xf numFmtId="4" fontId="5" fillId="0" borderId="0" xfId="0" applyNumberFormat="1" applyFont="1"/>
    <xf numFmtId="4" fontId="2" fillId="3" borderId="0" xfId="0" applyNumberFormat="1" applyFont="1" applyFill="1"/>
    <xf numFmtId="4" fontId="0" fillId="3" borderId="0" xfId="0" applyNumberFormat="1" applyFill="1"/>
    <xf numFmtId="0" fontId="2" fillId="0" borderId="1" xfId="0" applyFont="1" applyBorder="1"/>
    <xf numFmtId="0" fontId="0" fillId="0" borderId="1" xfId="0" applyBorder="1"/>
    <xf numFmtId="0" fontId="0" fillId="3" borderId="0" xfId="0" applyFill="1"/>
    <xf numFmtId="0" fontId="4" fillId="4" borderId="0" xfId="0" applyFont="1" applyFill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9" fontId="1" fillId="0" borderId="5" xfId="0" applyNumberFormat="1" applyFont="1" applyBorder="1"/>
    <xf numFmtId="0" fontId="0" fillId="0" borderId="6" xfId="0" applyBorder="1"/>
    <xf numFmtId="4" fontId="6" fillId="0" borderId="0" xfId="0" applyNumberFormat="1" applyFont="1"/>
    <xf numFmtId="4" fontId="2" fillId="3" borderId="1" xfId="0" applyNumberFormat="1" applyFont="1" applyFill="1" applyBorder="1"/>
    <xf numFmtId="4" fontId="2" fillId="5" borderId="1" xfId="0" applyNumberFormat="1" applyFont="1" applyFill="1" applyBorder="1"/>
    <xf numFmtId="0" fontId="6" fillId="0" borderId="0" xfId="0" applyFont="1"/>
    <xf numFmtId="4" fontId="2" fillId="6" borderId="1" xfId="0" applyNumberFormat="1" applyFont="1" applyFill="1" applyBorder="1"/>
    <xf numFmtId="4" fontId="0" fillId="7" borderId="0" xfId="0" applyNumberFormat="1" applyFill="1"/>
    <xf numFmtId="4" fontId="0" fillId="8" borderId="0" xfId="0" applyNumberFormat="1" applyFill="1"/>
    <xf numFmtId="9" fontId="6" fillId="0" borderId="0" xfId="0" applyNumberFormat="1" applyFont="1"/>
    <xf numFmtId="3" fontId="0" fillId="0" borderId="0" xfId="0" applyNumberFormat="1"/>
    <xf numFmtId="4" fontId="0" fillId="5" borderId="0" xfId="0" applyNumberFormat="1" applyFill="1"/>
    <xf numFmtId="9" fontId="0" fillId="0" borderId="0" xfId="0" applyNumberFormat="1"/>
    <xf numFmtId="0" fontId="0" fillId="0" borderId="4" xfId="0" applyBorder="1"/>
    <xf numFmtId="0" fontId="6" fillId="0" borderId="1" xfId="0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9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2" xfId="0" applyNumberFormat="1" applyBorder="1"/>
    <xf numFmtId="0" fontId="0" fillId="0" borderId="2" xfId="0" applyBorder="1"/>
    <xf numFmtId="0" fontId="0" fillId="0" borderId="13" xfId="0" applyBorder="1"/>
    <xf numFmtId="9" fontId="0" fillId="0" borderId="3" xfId="0" applyNumberFormat="1" applyBorder="1"/>
    <xf numFmtId="0" fontId="0" fillId="0" borderId="14" xfId="0" applyBorder="1"/>
    <xf numFmtId="9" fontId="0" fillId="0" borderId="6" xfId="0" applyNumberFormat="1" applyBorder="1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4" fontId="0" fillId="0" borderId="13" xfId="0" applyNumberFormat="1" applyBorder="1"/>
    <xf numFmtId="3" fontId="0" fillId="0" borderId="13" xfId="0" applyNumberFormat="1" applyBorder="1"/>
    <xf numFmtId="3" fontId="0" fillId="3" borderId="0" xfId="0" applyNumberFormat="1" applyFill="1"/>
    <xf numFmtId="0" fontId="6" fillId="0" borderId="2" xfId="0" applyFont="1" applyBorder="1"/>
    <xf numFmtId="4" fontId="0" fillId="0" borderId="3" xfId="0" applyNumberFormat="1" applyBorder="1"/>
    <xf numFmtId="4" fontId="0" fillId="0" borderId="6" xfId="0" applyNumberFormat="1" applyBorder="1"/>
    <xf numFmtId="0" fontId="6" fillId="8" borderId="0" xfId="0" applyFont="1" applyFill="1"/>
    <xf numFmtId="0" fontId="0" fillId="8" borderId="0" xfId="0" applyFill="1"/>
    <xf numFmtId="0" fontId="7" fillId="0" borderId="0" xfId="0" applyFont="1"/>
    <xf numFmtId="4" fontId="1" fillId="0" borderId="0" xfId="0" applyNumberFormat="1" applyFont="1"/>
    <xf numFmtId="0" fontId="6" fillId="9" borderId="0" xfId="0" applyFont="1" applyFill="1"/>
    <xf numFmtId="0" fontId="0" fillId="9" borderId="0" xfId="0" applyFill="1"/>
    <xf numFmtId="4" fontId="0" fillId="9" borderId="0" xfId="0" applyNumberFormat="1" applyFill="1"/>
    <xf numFmtId="4" fontId="5" fillId="3" borderId="0" xfId="0" applyNumberFormat="1" applyFont="1" applyFill="1"/>
    <xf numFmtId="3" fontId="6" fillId="0" borderId="0" xfId="0" applyNumberFormat="1" applyFont="1"/>
    <xf numFmtId="3" fontId="0" fillId="2" borderId="0" xfId="0" applyNumberFormat="1" applyFill="1"/>
    <xf numFmtId="4" fontId="0" fillId="10" borderId="0" xfId="0" applyNumberFormat="1" applyFill="1"/>
    <xf numFmtId="3" fontId="0" fillId="10" borderId="0" xfId="0" applyNumberFormat="1" applyFill="1"/>
    <xf numFmtId="4" fontId="0" fillId="4" borderId="0" xfId="0" applyNumberFormat="1" applyFill="1"/>
    <xf numFmtId="3" fontId="0" fillId="4" borderId="0" xfId="0" applyNumberFormat="1" applyFill="1"/>
    <xf numFmtId="9" fontId="6" fillId="4" borderId="0" xfId="0" applyNumberFormat="1" applyFont="1" applyFill="1"/>
    <xf numFmtId="0" fontId="0" fillId="4" borderId="0" xfId="0" applyFill="1"/>
    <xf numFmtId="0" fontId="6" fillId="3" borderId="0" xfId="0" applyFont="1" applyFill="1"/>
    <xf numFmtId="0" fontId="3" fillId="0" borderId="13" xfId="0" applyFont="1" applyBorder="1"/>
    <xf numFmtId="4" fontId="3" fillId="0" borderId="13" xfId="0" applyNumberFormat="1" applyFont="1" applyBorder="1"/>
    <xf numFmtId="0" fontId="6" fillId="0" borderId="4" xfId="0" applyFont="1" applyBorder="1"/>
    <xf numFmtId="0" fontId="0" fillId="0" borderId="4" xfId="0" quotePrefix="1" applyBorder="1"/>
    <xf numFmtId="4" fontId="0" fillId="0" borderId="14" xfId="0" applyNumberFormat="1" applyBorder="1"/>
    <xf numFmtId="4" fontId="7" fillId="0" borderId="0" xfId="0" applyNumberFormat="1" applyFont="1"/>
    <xf numFmtId="16" fontId="0" fillId="0" borderId="0" xfId="0" applyNumberFormat="1"/>
    <xf numFmtId="0" fontId="0" fillId="0" borderId="0" xfId="0" quotePrefix="1"/>
    <xf numFmtId="4" fontId="0" fillId="0" borderId="0" xfId="0" quotePrefix="1" applyNumberFormat="1"/>
    <xf numFmtId="0" fontId="8" fillId="0" borderId="0" xfId="0" applyFont="1"/>
    <xf numFmtId="0" fontId="6" fillId="11" borderId="0" xfId="0" applyFont="1" applyFill="1"/>
    <xf numFmtId="0" fontId="0" fillId="11" borderId="0" xfId="0" applyFill="1"/>
    <xf numFmtId="4" fontId="0" fillId="11" borderId="0" xfId="0" applyNumberFormat="1" applyFill="1"/>
    <xf numFmtId="0" fontId="6" fillId="0" borderId="0" xfId="0" quotePrefix="1" applyFont="1"/>
    <xf numFmtId="4" fontId="0" fillId="12" borderId="0" xfId="0" applyNumberFormat="1" applyFill="1"/>
    <xf numFmtId="3" fontId="0" fillId="12" borderId="0" xfId="0" applyNumberFormat="1" applyFill="1"/>
    <xf numFmtId="3" fontId="0" fillId="5" borderId="0" xfId="0" applyNumberFormat="1" applyFill="1"/>
    <xf numFmtId="3" fontId="3" fillId="0" borderId="0" xfId="0" applyNumberFormat="1" applyFont="1"/>
    <xf numFmtId="4" fontId="3" fillId="0" borderId="15" xfId="0" applyNumberFormat="1" applyFont="1" applyBorder="1"/>
    <xf numFmtId="4" fontId="9" fillId="0" borderId="0" xfId="0" applyNumberFormat="1" applyFont="1"/>
    <xf numFmtId="4" fontId="6" fillId="0" borderId="1" xfId="0" applyNumberFormat="1" applyFont="1" applyBorder="1"/>
    <xf numFmtId="1" fontId="0" fillId="0" borderId="0" xfId="0" applyNumberFormat="1"/>
    <xf numFmtId="4" fontId="9" fillId="0" borderId="1" xfId="0" applyNumberFormat="1" applyFont="1" applyBorder="1"/>
    <xf numFmtId="4" fontId="5" fillId="0" borderId="1" xfId="0" applyNumberFormat="1" applyFont="1" applyBorder="1"/>
    <xf numFmtId="4" fontId="6" fillId="0" borderId="0" xfId="0" quotePrefix="1" applyNumberFormat="1" applyFont="1"/>
    <xf numFmtId="4" fontId="6" fillId="0" borderId="1" xfId="0" quotePrefix="1" applyNumberFormat="1" applyFont="1" applyBorder="1"/>
    <xf numFmtId="4" fontId="6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0" xfId="0" quotePrefix="1" applyNumberFormat="1" applyFont="1" applyAlignment="1">
      <alignment horizontal="center"/>
    </xf>
    <xf numFmtId="0" fontId="6" fillId="0" borderId="1" xfId="0" quotePrefix="1" applyFont="1" applyBorder="1"/>
    <xf numFmtId="4" fontId="10" fillId="0" borderId="0" xfId="0" applyNumberFormat="1" applyFont="1"/>
    <xf numFmtId="4" fontId="10" fillId="0" borderId="1" xfId="0" applyNumberFormat="1" applyFont="1" applyBorder="1"/>
    <xf numFmtId="3" fontId="0" fillId="0" borderId="0" xfId="0" applyNumberFormat="1" applyAlignment="1">
      <alignment horizontal="left"/>
    </xf>
    <xf numFmtId="0" fontId="11" fillId="3" borderId="0" xfId="0" applyFont="1" applyFill="1"/>
    <xf numFmtId="4" fontId="0" fillId="0" borderId="3" xfId="0" quotePrefix="1" applyNumberFormat="1" applyBorder="1"/>
    <xf numFmtId="0" fontId="0" fillId="0" borderId="0" xfId="0" quotePrefix="1" applyAlignment="1">
      <alignment horizontal="right"/>
    </xf>
    <xf numFmtId="165" fontId="0" fillId="0" borderId="0" xfId="0" applyNumberFormat="1"/>
    <xf numFmtId="4" fontId="7" fillId="0" borderId="0" xfId="0" applyNumberFormat="1" applyFont="1" applyAlignment="1">
      <alignment horizontal="center"/>
    </xf>
    <xf numFmtId="9" fontId="1" fillId="0" borderId="0" xfId="0" applyNumberFormat="1" applyFont="1"/>
    <xf numFmtId="4" fontId="1" fillId="0" borderId="0" xfId="0" quotePrefix="1" applyNumberFormat="1" applyFont="1"/>
    <xf numFmtId="4" fontId="8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/>
    <xf numFmtId="0" fontId="14" fillId="0" borderId="0" xfId="0" applyFont="1"/>
    <xf numFmtId="0" fontId="15" fillId="0" borderId="0" xfId="1" applyFont="1"/>
    <xf numFmtId="0" fontId="12" fillId="0" borderId="14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styles" Target="style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senen_28@outlook.com" TargetMode="External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6569-C8A3-4817-BD7B-B36FA304CABF}">
  <dimension ref="A1:L77"/>
  <sheetViews>
    <sheetView tabSelected="1" zoomScaleNormal="100" workbookViewId="0">
      <selection activeCell="I41" sqref="I41"/>
    </sheetView>
  </sheetViews>
  <sheetFormatPr defaultColWidth="11.56640625" defaultRowHeight="15" x14ac:dyDescent="0.2"/>
  <cols>
    <col min="1" max="1" width="13.31640625" style="121" customWidth="1"/>
    <col min="2" max="2" width="11.56640625" style="121"/>
    <col min="3" max="3" width="3.359375" style="121" customWidth="1"/>
    <col min="4" max="4" width="6.72265625" style="121" customWidth="1"/>
    <col min="5" max="9" width="11.56640625" style="121"/>
    <col min="10" max="10" width="20.04296875" style="121" customWidth="1"/>
    <col min="11" max="16384" width="11.56640625" style="121"/>
  </cols>
  <sheetData>
    <row r="1" spans="1:12" ht="15.75" thickTop="1" x14ac:dyDescent="0.2">
      <c r="A1" s="120" t="s">
        <v>700</v>
      </c>
      <c r="B1" s="120"/>
      <c r="E1" s="127" t="s">
        <v>707</v>
      </c>
      <c r="F1" s="128"/>
      <c r="G1" s="128"/>
      <c r="H1" s="128"/>
      <c r="I1" s="128"/>
      <c r="J1" s="128"/>
      <c r="K1" s="128"/>
      <c r="L1" s="129"/>
    </row>
    <row r="2" spans="1:12" ht="15.75" thickBot="1" x14ac:dyDescent="0.25">
      <c r="E2" s="130"/>
      <c r="F2" s="131"/>
      <c r="G2" s="131"/>
      <c r="H2" s="131"/>
      <c r="I2" s="131"/>
      <c r="J2" s="131"/>
      <c r="K2" s="131"/>
      <c r="L2" s="132"/>
    </row>
    <row r="3" spans="1:12" ht="15.75" thickTop="1" x14ac:dyDescent="0.2">
      <c r="A3" s="121" t="s">
        <v>701</v>
      </c>
    </row>
    <row r="4" spans="1:12" x14ac:dyDescent="0.2">
      <c r="A4" s="121" t="s">
        <v>702</v>
      </c>
    </row>
    <row r="6" spans="1:12" x14ac:dyDescent="0.2">
      <c r="A6" s="122" t="s">
        <v>703</v>
      </c>
    </row>
    <row r="8" spans="1:12" x14ac:dyDescent="0.2">
      <c r="A8" s="121" t="s">
        <v>704</v>
      </c>
    </row>
    <row r="12" spans="1:12" x14ac:dyDescent="0.2">
      <c r="D12" s="123" t="s">
        <v>705</v>
      </c>
      <c r="E12" s="123"/>
      <c r="F12" s="123"/>
      <c r="G12" s="123"/>
    </row>
    <row r="13" spans="1:12" x14ac:dyDescent="0.2">
      <c r="A13" s="121" t="s">
        <v>706</v>
      </c>
    </row>
    <row r="14" spans="1:12" x14ac:dyDescent="0.2">
      <c r="A14" s="124" t="s">
        <v>708</v>
      </c>
    </row>
    <row r="15" spans="1:12" x14ac:dyDescent="0.2">
      <c r="A15" s="121" t="s">
        <v>709</v>
      </c>
    </row>
    <row r="16" spans="1:12" x14ac:dyDescent="0.2">
      <c r="A16" s="121" t="s">
        <v>710</v>
      </c>
    </row>
    <row r="17" spans="1:2" x14ac:dyDescent="0.2">
      <c r="A17" s="121" t="s">
        <v>711</v>
      </c>
    </row>
    <row r="18" spans="1:2" x14ac:dyDescent="0.2">
      <c r="A18" s="121" t="s">
        <v>712</v>
      </c>
    </row>
    <row r="19" spans="1:2" x14ac:dyDescent="0.2">
      <c r="A19" s="121" t="s">
        <v>713</v>
      </c>
    </row>
    <row r="21" spans="1:2" x14ac:dyDescent="0.2">
      <c r="A21" s="125" t="s">
        <v>714</v>
      </c>
      <c r="B21" s="126"/>
    </row>
    <row r="22" spans="1:2" x14ac:dyDescent="0.2">
      <c r="A22" s="121" t="s">
        <v>715</v>
      </c>
    </row>
    <row r="23" spans="1:2" x14ac:dyDescent="0.2">
      <c r="A23" s="121" t="s">
        <v>716</v>
      </c>
    </row>
    <row r="24" spans="1:2" x14ac:dyDescent="0.2">
      <c r="A24" s="121" t="s">
        <v>717</v>
      </c>
    </row>
    <row r="25" spans="1:2" x14ac:dyDescent="0.2">
      <c r="A25" s="121" t="s">
        <v>718</v>
      </c>
    </row>
    <row r="26" spans="1:2" x14ac:dyDescent="0.2">
      <c r="A26" s="121" t="s">
        <v>719</v>
      </c>
    </row>
    <row r="28" spans="1:2" x14ac:dyDescent="0.2">
      <c r="A28" s="125" t="s">
        <v>720</v>
      </c>
      <c r="B28" s="126"/>
    </row>
    <row r="29" spans="1:2" x14ac:dyDescent="0.2">
      <c r="A29" s="121" t="s">
        <v>721</v>
      </c>
    </row>
    <row r="30" spans="1:2" x14ac:dyDescent="0.2">
      <c r="A30" s="121" t="s">
        <v>722</v>
      </c>
    </row>
    <row r="32" spans="1:2" x14ac:dyDescent="0.2">
      <c r="A32" s="124" t="s">
        <v>723</v>
      </c>
    </row>
    <row r="33" spans="1:1" x14ac:dyDescent="0.2">
      <c r="A33" s="121" t="s">
        <v>724</v>
      </c>
    </row>
    <row r="34" spans="1:1" x14ac:dyDescent="0.2">
      <c r="A34" s="121" t="s">
        <v>725</v>
      </c>
    </row>
    <row r="35" spans="1:1" x14ac:dyDescent="0.2">
      <c r="A35" s="121" t="s">
        <v>726</v>
      </c>
    </row>
    <row r="36" spans="1:1" x14ac:dyDescent="0.2">
      <c r="A36" s="121" t="s">
        <v>727</v>
      </c>
    </row>
    <row r="37" spans="1:1" x14ac:dyDescent="0.2">
      <c r="A37" s="121" t="s">
        <v>728</v>
      </c>
    </row>
    <row r="38" spans="1:1" x14ac:dyDescent="0.2">
      <c r="A38" s="121" t="s">
        <v>729</v>
      </c>
    </row>
    <row r="39" spans="1:1" x14ac:dyDescent="0.2">
      <c r="A39" s="121" t="s">
        <v>730</v>
      </c>
    </row>
    <row r="40" spans="1:1" x14ac:dyDescent="0.2">
      <c r="A40" s="121" t="s">
        <v>731</v>
      </c>
    </row>
    <row r="41" spans="1:1" x14ac:dyDescent="0.2">
      <c r="A41" s="121" t="s">
        <v>732</v>
      </c>
    </row>
    <row r="42" spans="1:1" x14ac:dyDescent="0.2">
      <c r="A42" s="121" t="s">
        <v>733</v>
      </c>
    </row>
    <row r="49" spans="1:1" x14ac:dyDescent="0.2">
      <c r="A49" s="124" t="s">
        <v>734</v>
      </c>
    </row>
    <row r="50" spans="1:1" x14ac:dyDescent="0.2">
      <c r="A50" s="121" t="s">
        <v>735</v>
      </c>
    </row>
    <row r="51" spans="1:1" x14ac:dyDescent="0.2">
      <c r="A51" s="121" t="s">
        <v>736</v>
      </c>
    </row>
    <row r="53" spans="1:1" x14ac:dyDescent="0.2">
      <c r="A53" s="124" t="s">
        <v>737</v>
      </c>
    </row>
    <row r="54" spans="1:1" x14ac:dyDescent="0.2">
      <c r="A54" s="121" t="s">
        <v>738</v>
      </c>
    </row>
    <row r="55" spans="1:1" x14ac:dyDescent="0.2">
      <c r="A55" s="121" t="s">
        <v>739</v>
      </c>
    </row>
    <row r="56" spans="1:1" x14ac:dyDescent="0.2">
      <c r="A56" s="121" t="s">
        <v>740</v>
      </c>
    </row>
    <row r="57" spans="1:1" x14ac:dyDescent="0.2">
      <c r="A57" s="121" t="s">
        <v>741</v>
      </c>
    </row>
    <row r="58" spans="1:1" x14ac:dyDescent="0.2">
      <c r="A58" s="121" t="s">
        <v>742</v>
      </c>
    </row>
    <row r="59" spans="1:1" x14ac:dyDescent="0.2">
      <c r="A59" s="121" t="s">
        <v>743</v>
      </c>
    </row>
    <row r="61" spans="1:1" x14ac:dyDescent="0.2">
      <c r="A61" s="124" t="s">
        <v>744</v>
      </c>
    </row>
    <row r="62" spans="1:1" x14ac:dyDescent="0.2">
      <c r="A62" s="121" t="s">
        <v>745</v>
      </c>
    </row>
    <row r="63" spans="1:1" x14ac:dyDescent="0.2">
      <c r="A63" s="121" t="s">
        <v>746</v>
      </c>
    </row>
    <row r="64" spans="1:1" x14ac:dyDescent="0.2">
      <c r="A64" s="121" t="s">
        <v>747</v>
      </c>
    </row>
    <row r="66" spans="1:2" x14ac:dyDescent="0.2">
      <c r="A66" s="124" t="s">
        <v>748</v>
      </c>
    </row>
    <row r="67" spans="1:2" x14ac:dyDescent="0.2">
      <c r="A67" s="121" t="s">
        <v>749</v>
      </c>
    </row>
    <row r="68" spans="1:2" x14ac:dyDescent="0.2">
      <c r="A68" s="121" t="s">
        <v>750</v>
      </c>
    </row>
    <row r="69" spans="1:2" x14ac:dyDescent="0.2">
      <c r="A69" s="121" t="s">
        <v>751</v>
      </c>
    </row>
    <row r="70" spans="1:2" x14ac:dyDescent="0.2">
      <c r="A70" s="121" t="s">
        <v>752</v>
      </c>
    </row>
    <row r="72" spans="1:2" x14ac:dyDescent="0.2">
      <c r="A72" s="125" t="s">
        <v>753</v>
      </c>
      <c r="B72" s="126"/>
    </row>
    <row r="73" spans="1:2" x14ac:dyDescent="0.2">
      <c r="A73" s="121" t="s">
        <v>754</v>
      </c>
    </row>
    <row r="76" spans="1:2" x14ac:dyDescent="0.2">
      <c r="A76" s="124" t="s">
        <v>755</v>
      </c>
    </row>
    <row r="77" spans="1:2" x14ac:dyDescent="0.2">
      <c r="A77" s="121" t="s">
        <v>756</v>
      </c>
    </row>
  </sheetData>
  <hyperlinks>
    <hyperlink ref="A6" r:id="rId1" xr:uid="{AFD3B46D-B2C0-4190-9603-187A2E49DBD3}"/>
  </hyperlinks>
  <pageMargins left="0.7" right="0.7" top="0.75" bottom="0.75" header="0.3" footer="0.3"/>
  <pageSetup paperSize="9" scale="6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9782-8E95-4ECE-A65D-EAD1C6544CF8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D817-FEE3-4DE9-853A-C5DA4347E7F5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6BB7-5582-4BD2-8CF3-3BDAAF24096D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230" workbookViewId="0">
      <selection activeCell="L246" sqref="L246"/>
    </sheetView>
  </sheetViews>
  <sheetFormatPr defaultColWidth="11.43359375" defaultRowHeight="15" x14ac:dyDescent="0.2"/>
  <cols>
    <col min="1" max="2" width="11.43359375" style="2"/>
    <col min="3" max="3" width="6.45703125" style="34" customWidth="1"/>
    <col min="4" max="4" width="14.390625" style="2" customWidth="1"/>
    <col min="5" max="8" width="11.43359375" style="2"/>
    <col min="9" max="9" width="13.5859375" style="2" customWidth="1"/>
    <col min="10" max="14" width="11.43359375" style="2"/>
    <col min="15" max="15" width="12.64453125" style="2" customWidth="1"/>
    <col min="16" max="16384" width="11.43359375" style="2"/>
  </cols>
  <sheetData>
    <row r="1" spans="1:7" x14ac:dyDescent="0.2">
      <c r="A1" s="26" t="s">
        <v>363</v>
      </c>
    </row>
    <row r="2" spans="1:7" x14ac:dyDescent="0.2">
      <c r="B2" s="2" t="s">
        <v>359</v>
      </c>
    </row>
    <row r="3" spans="1:7" x14ac:dyDescent="0.2">
      <c r="B3" s="2" t="s">
        <v>360</v>
      </c>
    </row>
    <row r="4" spans="1:7" x14ac:dyDescent="0.2">
      <c r="B4" s="2" t="s">
        <v>361</v>
      </c>
    </row>
    <row r="6" spans="1:7" x14ac:dyDescent="0.2">
      <c r="B6" s="2" t="s">
        <v>362</v>
      </c>
    </row>
    <row r="8" spans="1:7" x14ac:dyDescent="0.2">
      <c r="A8" s="2" t="s">
        <v>400</v>
      </c>
    </row>
    <row r="11" spans="1:7" x14ac:dyDescent="0.2">
      <c r="A11" s="2" t="s">
        <v>224</v>
      </c>
      <c r="C11" s="34" t="s">
        <v>225</v>
      </c>
    </row>
    <row r="14" spans="1:7" x14ac:dyDescent="0.2">
      <c r="C14" s="56" t="s">
        <v>226</v>
      </c>
      <c r="D14" s="16"/>
      <c r="E14" s="16"/>
      <c r="F14" s="16"/>
      <c r="G14" s="16"/>
    </row>
    <row r="15" spans="1:7" x14ac:dyDescent="0.2">
      <c r="C15" s="56" t="s">
        <v>227</v>
      </c>
      <c r="D15" s="16"/>
      <c r="E15" s="16"/>
      <c r="F15" s="16"/>
      <c r="G15" s="16"/>
    </row>
    <row r="17" spans="1:10" x14ac:dyDescent="0.2">
      <c r="B17" s="16" t="s">
        <v>324</v>
      </c>
      <c r="C17" s="56"/>
      <c r="D17" s="16"/>
      <c r="E17" s="16"/>
      <c r="F17" s="16"/>
      <c r="G17" s="2" t="s">
        <v>325</v>
      </c>
      <c r="H17" s="16" t="s">
        <v>326</v>
      </c>
      <c r="I17" s="16"/>
      <c r="J17" s="2" t="s">
        <v>327</v>
      </c>
    </row>
    <row r="18" spans="1:10" x14ac:dyDescent="0.2">
      <c r="J18" s="2" t="s">
        <v>39</v>
      </c>
    </row>
    <row r="21" spans="1:10" x14ac:dyDescent="0.2">
      <c r="A21" s="2" t="s">
        <v>332</v>
      </c>
      <c r="C21" s="94" t="s">
        <v>489</v>
      </c>
    </row>
    <row r="23" spans="1:10" x14ac:dyDescent="0.2">
      <c r="A23" s="54"/>
      <c r="B23" s="54"/>
      <c r="C23" s="55" t="s">
        <v>145</v>
      </c>
      <c r="D23" s="54"/>
      <c r="E23" s="54"/>
      <c r="F23" s="54"/>
      <c r="G23" s="54"/>
      <c r="H23" s="54"/>
      <c r="I23" s="54"/>
      <c r="J23" s="54"/>
    </row>
    <row r="24" spans="1:10" x14ac:dyDescent="0.2">
      <c r="C24" s="34" t="s">
        <v>129</v>
      </c>
    </row>
    <row r="25" spans="1:10" x14ac:dyDescent="0.2">
      <c r="C25" s="34" t="s">
        <v>223</v>
      </c>
    </row>
    <row r="26" spans="1:10" x14ac:dyDescent="0.2">
      <c r="C26" s="34" t="s">
        <v>335</v>
      </c>
      <c r="E26" s="2" t="s">
        <v>143</v>
      </c>
    </row>
    <row r="28" spans="1:10" x14ac:dyDescent="0.2">
      <c r="A28" s="2" t="s">
        <v>356</v>
      </c>
      <c r="C28" s="34" t="s">
        <v>357</v>
      </c>
    </row>
    <row r="29" spans="1:10" x14ac:dyDescent="0.2">
      <c r="C29" s="34" t="s">
        <v>358</v>
      </c>
    </row>
    <row r="32" spans="1:10" x14ac:dyDescent="0.2">
      <c r="A32" s="2" t="s">
        <v>148</v>
      </c>
      <c r="C32" s="68" t="s">
        <v>373</v>
      </c>
    </row>
    <row r="36" spans="1:3" x14ac:dyDescent="0.2">
      <c r="A36" s="2" t="s">
        <v>337</v>
      </c>
      <c r="C36" s="34" t="s">
        <v>338</v>
      </c>
    </row>
    <row r="38" spans="1:3" x14ac:dyDescent="0.2">
      <c r="C38" s="34" t="s">
        <v>339</v>
      </c>
    </row>
    <row r="40" spans="1:3" x14ac:dyDescent="0.2">
      <c r="C40" s="34" t="s">
        <v>144</v>
      </c>
    </row>
    <row r="41" spans="1:3" x14ac:dyDescent="0.2">
      <c r="A41" s="2" t="s">
        <v>148</v>
      </c>
      <c r="C41" s="34" t="s">
        <v>336</v>
      </c>
    </row>
    <row r="42" spans="1:3" x14ac:dyDescent="0.2">
      <c r="C42" s="34" t="s">
        <v>146</v>
      </c>
    </row>
    <row r="45" spans="1:3" x14ac:dyDescent="0.2">
      <c r="A45" s="16" t="s">
        <v>322</v>
      </c>
      <c r="C45" s="34" t="s">
        <v>323</v>
      </c>
    </row>
    <row r="48" spans="1:3" x14ac:dyDescent="0.2">
      <c r="C48" s="34" t="s">
        <v>221</v>
      </c>
    </row>
    <row r="50" spans="1:3" x14ac:dyDescent="0.2">
      <c r="A50" s="2" t="s">
        <v>148</v>
      </c>
      <c r="C50" s="34" t="s">
        <v>149</v>
      </c>
    </row>
    <row r="51" spans="1:3" x14ac:dyDescent="0.2">
      <c r="A51" s="2" t="s">
        <v>148</v>
      </c>
      <c r="C51" s="34" t="s">
        <v>150</v>
      </c>
    </row>
    <row r="52" spans="1:3" x14ac:dyDescent="0.2">
      <c r="A52" s="2" t="s">
        <v>148</v>
      </c>
      <c r="C52" s="34" t="s">
        <v>230</v>
      </c>
    </row>
    <row r="53" spans="1:3" x14ac:dyDescent="0.2">
      <c r="C53" s="34" t="s">
        <v>231</v>
      </c>
    </row>
    <row r="54" spans="1:3" x14ac:dyDescent="0.2">
      <c r="A54" s="2" t="s">
        <v>151</v>
      </c>
      <c r="B54" s="2" t="s">
        <v>153</v>
      </c>
      <c r="C54" s="34" t="s">
        <v>152</v>
      </c>
    </row>
    <row r="55" spans="1:3" x14ac:dyDescent="0.2">
      <c r="C55" s="34" t="s">
        <v>265</v>
      </c>
    </row>
    <row r="56" spans="1:3" x14ac:dyDescent="0.2">
      <c r="C56" s="34" t="s">
        <v>331</v>
      </c>
    </row>
    <row r="57" spans="1:3" x14ac:dyDescent="0.2">
      <c r="C57" s="34" t="s">
        <v>423</v>
      </c>
    </row>
    <row r="58" spans="1:3" x14ac:dyDescent="0.2">
      <c r="C58" s="34" t="s">
        <v>424</v>
      </c>
    </row>
    <row r="61" spans="1:3" x14ac:dyDescent="0.2">
      <c r="A61" s="2" t="s">
        <v>466</v>
      </c>
      <c r="C61" s="34" t="s">
        <v>467</v>
      </c>
    </row>
    <row r="63" spans="1:3" x14ac:dyDescent="0.2">
      <c r="A63" s="2" t="s">
        <v>472</v>
      </c>
      <c r="C63" s="34" t="s">
        <v>481</v>
      </c>
    </row>
    <row r="64" spans="1:3" x14ac:dyDescent="0.2">
      <c r="A64" s="2" t="s">
        <v>472</v>
      </c>
      <c r="C64" s="34" t="s">
        <v>482</v>
      </c>
    </row>
    <row r="65" spans="1:6" x14ac:dyDescent="0.2">
      <c r="A65" s="2" t="s">
        <v>472</v>
      </c>
      <c r="C65" s="34" t="s">
        <v>483</v>
      </c>
      <c r="F65" s="2" t="s">
        <v>497</v>
      </c>
    </row>
    <row r="67" spans="1:6" x14ac:dyDescent="0.2">
      <c r="A67" s="2" t="s">
        <v>472</v>
      </c>
      <c r="C67" s="34" t="s">
        <v>485</v>
      </c>
    </row>
    <row r="69" spans="1:6" x14ac:dyDescent="0.2">
      <c r="A69" s="2" t="s">
        <v>486</v>
      </c>
      <c r="C69" s="34" t="s">
        <v>487</v>
      </c>
    </row>
    <row r="71" spans="1:6" x14ac:dyDescent="0.2">
      <c r="A71" s="2" t="s">
        <v>472</v>
      </c>
      <c r="C71" s="34" t="s">
        <v>488</v>
      </c>
    </row>
    <row r="73" spans="1:6" x14ac:dyDescent="0.2">
      <c r="A73" s="2" t="s">
        <v>337</v>
      </c>
      <c r="C73" s="34" t="s">
        <v>495</v>
      </c>
    </row>
    <row r="75" spans="1:6" x14ac:dyDescent="0.2">
      <c r="A75" s="2" t="s">
        <v>337</v>
      </c>
      <c r="C75" s="34" t="s">
        <v>496</v>
      </c>
    </row>
    <row r="77" spans="1:6" x14ac:dyDescent="0.2">
      <c r="A77" s="2" t="s">
        <v>337</v>
      </c>
      <c r="C77" s="34" t="s">
        <v>498</v>
      </c>
    </row>
    <row r="79" spans="1:6" x14ac:dyDescent="0.2">
      <c r="A79" s="2" t="s">
        <v>337</v>
      </c>
      <c r="C79" s="34" t="s">
        <v>499</v>
      </c>
    </row>
    <row r="82" spans="1:16" x14ac:dyDescent="0.2">
      <c r="A82" s="2" t="s">
        <v>337</v>
      </c>
      <c r="C82" s="34" t="s">
        <v>567</v>
      </c>
    </row>
    <row r="84" spans="1:16" x14ac:dyDescent="0.2">
      <c r="A84" s="2" t="s">
        <v>337</v>
      </c>
      <c r="C84" s="34" t="s">
        <v>568</v>
      </c>
    </row>
    <row r="86" spans="1:16" x14ac:dyDescent="0.2">
      <c r="A86" s="2" t="s">
        <v>337</v>
      </c>
      <c r="C86" s="34" t="s">
        <v>484</v>
      </c>
    </row>
    <row r="88" spans="1:16" x14ac:dyDescent="0.2">
      <c r="A88" s="2" t="s">
        <v>332</v>
      </c>
      <c r="C88" s="34" t="s">
        <v>333</v>
      </c>
    </row>
    <row r="90" spans="1:16" x14ac:dyDescent="0.2">
      <c r="A90" s="2" t="s">
        <v>151</v>
      </c>
      <c r="C90" s="34" t="s">
        <v>156</v>
      </c>
    </row>
    <row r="91" spans="1:16" x14ac:dyDescent="0.2">
      <c r="A91" s="2" t="s">
        <v>151</v>
      </c>
      <c r="C91" s="34" t="s">
        <v>157</v>
      </c>
    </row>
    <row r="93" spans="1:16" x14ac:dyDescent="0.2">
      <c r="P93" s="2" t="s">
        <v>39</v>
      </c>
    </row>
    <row r="94" spans="1:16" x14ac:dyDescent="0.2">
      <c r="A94" s="2" t="s">
        <v>158</v>
      </c>
      <c r="C94" s="34" t="s">
        <v>159</v>
      </c>
    </row>
    <row r="95" spans="1:16" x14ac:dyDescent="0.2">
      <c r="C95" s="34" t="s">
        <v>160</v>
      </c>
    </row>
    <row r="97" spans="1:3" x14ac:dyDescent="0.2">
      <c r="A97" s="2" t="s">
        <v>148</v>
      </c>
      <c r="B97" s="2" t="s">
        <v>153</v>
      </c>
      <c r="C97" s="34" t="s">
        <v>334</v>
      </c>
    </row>
    <row r="99" spans="1:3" x14ac:dyDescent="0.2">
      <c r="A99" s="2" t="s">
        <v>151</v>
      </c>
      <c r="C99" s="34" t="s">
        <v>197</v>
      </c>
    </row>
    <row r="101" spans="1:3" x14ac:dyDescent="0.2">
      <c r="A101" s="2" t="s">
        <v>466</v>
      </c>
      <c r="C101" s="34" t="s">
        <v>469</v>
      </c>
    </row>
    <row r="103" spans="1:3" x14ac:dyDescent="0.2">
      <c r="A103" s="2" t="s">
        <v>337</v>
      </c>
      <c r="C103" s="34" t="s">
        <v>474</v>
      </c>
    </row>
    <row r="105" spans="1:3" x14ac:dyDescent="0.2">
      <c r="A105" s="2" t="s">
        <v>337</v>
      </c>
      <c r="C105" s="34" t="s">
        <v>470</v>
      </c>
    </row>
    <row r="106" spans="1:3" x14ac:dyDescent="0.2">
      <c r="C106" s="34" t="s">
        <v>471</v>
      </c>
    </row>
    <row r="108" spans="1:3" x14ac:dyDescent="0.2">
      <c r="A108" s="2" t="s">
        <v>337</v>
      </c>
      <c r="C108" s="34" t="s">
        <v>490</v>
      </c>
    </row>
    <row r="110" spans="1:3" x14ac:dyDescent="0.2">
      <c r="A110" s="2" t="s">
        <v>337</v>
      </c>
      <c r="C110" s="34" t="s">
        <v>491</v>
      </c>
    </row>
    <row r="112" spans="1:3" x14ac:dyDescent="0.2">
      <c r="A112" s="2" t="s">
        <v>472</v>
      </c>
      <c r="C112" s="34" t="s">
        <v>492</v>
      </c>
    </row>
    <row r="113" spans="1:16" x14ac:dyDescent="0.2">
      <c r="C113" s="34" t="s">
        <v>39</v>
      </c>
    </row>
    <row r="115" spans="1:16" x14ac:dyDescent="0.2">
      <c r="A115" s="2" t="s">
        <v>472</v>
      </c>
      <c r="C115" s="34" t="s">
        <v>475</v>
      </c>
    </row>
    <row r="117" spans="1:16" x14ac:dyDescent="0.2">
      <c r="A117" s="2" t="s">
        <v>476</v>
      </c>
      <c r="C117" s="34" t="s">
        <v>477</v>
      </c>
    </row>
    <row r="119" spans="1:16" x14ac:dyDescent="0.2">
      <c r="A119" s="2" t="s">
        <v>472</v>
      </c>
      <c r="C119" s="34" t="s">
        <v>480</v>
      </c>
    </row>
    <row r="122" spans="1:16" x14ac:dyDescent="0.2">
      <c r="A122" s="2" t="s">
        <v>478</v>
      </c>
      <c r="C122" s="34" t="s">
        <v>479</v>
      </c>
    </row>
    <row r="124" spans="1:16" x14ac:dyDescent="0.2">
      <c r="A124" s="2" t="s">
        <v>472</v>
      </c>
      <c r="C124" s="34" t="s">
        <v>473</v>
      </c>
    </row>
    <row r="125" spans="1:16" x14ac:dyDescent="0.2">
      <c r="C125" s="34" t="s">
        <v>39</v>
      </c>
    </row>
    <row r="127" spans="1:16" x14ac:dyDescent="0.2">
      <c r="A127" s="2" t="s">
        <v>148</v>
      </c>
      <c r="C127" s="34" t="s">
        <v>217</v>
      </c>
      <c r="P127" s="2" t="s">
        <v>39</v>
      </c>
    </row>
    <row r="129" spans="1:11" x14ac:dyDescent="0.2">
      <c r="A129" s="2" t="s">
        <v>218</v>
      </c>
      <c r="C129" s="34" t="s">
        <v>219</v>
      </c>
    </row>
    <row r="130" spans="1:11" x14ac:dyDescent="0.2">
      <c r="C130" s="34" t="s">
        <v>220</v>
      </c>
    </row>
    <row r="133" spans="1:11" x14ac:dyDescent="0.2">
      <c r="C133" s="34" t="s">
        <v>342</v>
      </c>
    </row>
    <row r="135" spans="1:11" x14ac:dyDescent="0.2">
      <c r="A135" s="2" t="s">
        <v>151</v>
      </c>
      <c r="C135" s="34">
        <v>49</v>
      </c>
    </row>
    <row r="136" spans="1:11" x14ac:dyDescent="0.2">
      <c r="A136" s="2" t="s">
        <v>151</v>
      </c>
      <c r="C136" s="34" t="s">
        <v>343</v>
      </c>
    </row>
    <row r="137" spans="1:11" x14ac:dyDescent="0.2">
      <c r="C137" s="34" t="s">
        <v>222</v>
      </c>
      <c r="K137" s="2" t="s">
        <v>39</v>
      </c>
    </row>
    <row r="139" spans="1:11" x14ac:dyDescent="0.2">
      <c r="A139" s="2" t="s">
        <v>151</v>
      </c>
      <c r="C139" s="34" t="s">
        <v>340</v>
      </c>
    </row>
    <row r="140" spans="1:11" x14ac:dyDescent="0.2">
      <c r="A140" s="2" t="s">
        <v>151</v>
      </c>
      <c r="C140" s="34" t="s">
        <v>341</v>
      </c>
    </row>
    <row r="141" spans="1:11" x14ac:dyDescent="0.2">
      <c r="A141" s="2" t="s">
        <v>101</v>
      </c>
      <c r="C141" s="34" t="s">
        <v>264</v>
      </c>
    </row>
    <row r="142" spans="1:11" x14ac:dyDescent="0.2">
      <c r="A142" s="70"/>
      <c r="B142" s="70"/>
      <c r="C142" s="71"/>
      <c r="D142" s="70"/>
      <c r="E142" s="70"/>
      <c r="F142" s="70"/>
      <c r="G142" s="70"/>
      <c r="H142" s="70"/>
      <c r="I142" s="70"/>
      <c r="J142" s="70"/>
      <c r="K142" s="70"/>
    </row>
    <row r="143" spans="1:11" x14ac:dyDescent="0.2">
      <c r="C143" s="69" t="s">
        <v>306</v>
      </c>
      <c r="D143" s="7"/>
      <c r="E143" s="2" t="s">
        <v>310</v>
      </c>
    </row>
    <row r="144" spans="1:11" x14ac:dyDescent="0.2">
      <c r="E144" s="2" t="s">
        <v>39</v>
      </c>
    </row>
    <row r="145" spans="1:3" x14ac:dyDescent="0.2">
      <c r="C145" s="34" t="s">
        <v>311</v>
      </c>
    </row>
    <row r="148" spans="1:3" x14ac:dyDescent="0.2">
      <c r="A148" s="2" t="s">
        <v>147</v>
      </c>
      <c r="C148" s="34" t="s">
        <v>312</v>
      </c>
    </row>
    <row r="149" spans="1:3" x14ac:dyDescent="0.2">
      <c r="C149" s="34" t="s">
        <v>285</v>
      </c>
    </row>
    <row r="150" spans="1:3" x14ac:dyDescent="0.2">
      <c r="C150" s="34" t="s">
        <v>286</v>
      </c>
    </row>
    <row r="151" spans="1:3" x14ac:dyDescent="0.2">
      <c r="C151" s="34" t="s">
        <v>287</v>
      </c>
    </row>
    <row r="152" spans="1:3" x14ac:dyDescent="0.2">
      <c r="C152" s="68" t="s">
        <v>288</v>
      </c>
    </row>
    <row r="153" spans="1:3" x14ac:dyDescent="0.2">
      <c r="C153" s="68" t="s">
        <v>289</v>
      </c>
    </row>
    <row r="155" spans="1:3" x14ac:dyDescent="0.2">
      <c r="C155" s="34" t="s">
        <v>290</v>
      </c>
    </row>
    <row r="156" spans="1:3" x14ac:dyDescent="0.2">
      <c r="C156" s="34" t="s">
        <v>291</v>
      </c>
    </row>
    <row r="158" spans="1:3" x14ac:dyDescent="0.2">
      <c r="C158" s="34" t="s">
        <v>292</v>
      </c>
    </row>
    <row r="159" spans="1:3" x14ac:dyDescent="0.2">
      <c r="C159" s="34" t="s">
        <v>293</v>
      </c>
    </row>
    <row r="161" spans="3:18" x14ac:dyDescent="0.2">
      <c r="C161" s="34" t="s">
        <v>313</v>
      </c>
    </row>
    <row r="162" spans="3:18" x14ac:dyDescent="0.2">
      <c r="C162" s="34" t="s">
        <v>314</v>
      </c>
    </row>
    <row r="163" spans="3:18" x14ac:dyDescent="0.2">
      <c r="C163" s="34" t="s">
        <v>315</v>
      </c>
    </row>
    <row r="164" spans="3:18" x14ac:dyDescent="0.2">
      <c r="C164" s="34" t="s">
        <v>316</v>
      </c>
    </row>
    <row r="165" spans="3:18" x14ac:dyDescent="0.2">
      <c r="C165" s="34" t="s">
        <v>317</v>
      </c>
    </row>
    <row r="167" spans="3:18" x14ac:dyDescent="0.2">
      <c r="C167" s="34" t="s">
        <v>318</v>
      </c>
      <c r="P167" s="2" t="s">
        <v>39</v>
      </c>
    </row>
    <row r="169" spans="3:18" x14ac:dyDescent="0.2">
      <c r="C169" s="34" t="s">
        <v>294</v>
      </c>
    </row>
    <row r="170" spans="3:18" x14ac:dyDescent="0.2">
      <c r="R170" s="2" t="s">
        <v>39</v>
      </c>
    </row>
    <row r="171" spans="3:18" x14ac:dyDescent="0.2">
      <c r="C171" s="34" t="s">
        <v>319</v>
      </c>
    </row>
    <row r="172" spans="3:18" x14ac:dyDescent="0.2">
      <c r="C172" s="34" t="s">
        <v>320</v>
      </c>
    </row>
    <row r="174" spans="3:18" x14ac:dyDescent="0.2">
      <c r="C174" s="68" t="s">
        <v>321</v>
      </c>
    </row>
    <row r="176" spans="3:18" x14ac:dyDescent="0.2">
      <c r="C176" s="34" t="s">
        <v>295</v>
      </c>
    </row>
    <row r="177" spans="1:3" x14ac:dyDescent="0.2">
      <c r="C177" s="34" t="s">
        <v>296</v>
      </c>
    </row>
    <row r="178" spans="1:3" x14ac:dyDescent="0.2">
      <c r="C178" s="56" t="s">
        <v>297</v>
      </c>
    </row>
    <row r="180" spans="1:3" x14ac:dyDescent="0.2">
      <c r="C180" s="34" t="s">
        <v>298</v>
      </c>
    </row>
    <row r="181" spans="1:3" x14ac:dyDescent="0.2">
      <c r="C181" s="34" t="s">
        <v>299</v>
      </c>
    </row>
    <row r="183" spans="1:3" x14ac:dyDescent="0.2">
      <c r="A183" s="2" t="s">
        <v>304</v>
      </c>
      <c r="C183" s="34" t="s">
        <v>305</v>
      </c>
    </row>
    <row r="185" spans="1:3" x14ac:dyDescent="0.2">
      <c r="A185" s="2" t="s">
        <v>307</v>
      </c>
      <c r="C185" s="34" t="s">
        <v>308</v>
      </c>
    </row>
    <row r="186" spans="1:3" x14ac:dyDescent="0.2">
      <c r="C186" s="34" t="s">
        <v>309</v>
      </c>
    </row>
    <row r="188" spans="1:3" x14ac:dyDescent="0.2">
      <c r="A188" s="2" t="s">
        <v>41</v>
      </c>
      <c r="C188" s="34" t="s">
        <v>493</v>
      </c>
    </row>
    <row r="189" spans="1:3" x14ac:dyDescent="0.2">
      <c r="C189" s="34" t="s">
        <v>494</v>
      </c>
    </row>
    <row r="193" spans="1:11" x14ac:dyDescent="0.2">
      <c r="A193" s="70"/>
      <c r="B193" s="70"/>
      <c r="C193" s="71"/>
      <c r="D193" s="70"/>
      <c r="E193" s="70"/>
      <c r="F193" s="70"/>
      <c r="G193" s="70"/>
      <c r="H193" s="70"/>
      <c r="I193" s="70"/>
      <c r="J193" s="70"/>
      <c r="K193" s="70"/>
    </row>
    <row r="194" spans="1:11" x14ac:dyDescent="0.2">
      <c r="A194" s="72" t="s">
        <v>328</v>
      </c>
      <c r="B194" s="72"/>
      <c r="C194" s="73" t="s">
        <v>329</v>
      </c>
      <c r="D194" s="72"/>
      <c r="E194" s="72"/>
      <c r="F194" s="72"/>
      <c r="G194" s="72"/>
      <c r="H194" s="72"/>
      <c r="I194" s="72"/>
      <c r="J194" s="72"/>
      <c r="K194" s="72"/>
    </row>
    <row r="195" spans="1:11" x14ac:dyDescent="0.2">
      <c r="A195" s="72"/>
      <c r="B195" s="72"/>
      <c r="C195" s="73" t="s">
        <v>330</v>
      </c>
      <c r="D195" s="72"/>
      <c r="E195" s="72"/>
      <c r="F195" s="72"/>
      <c r="G195" s="72"/>
      <c r="H195" s="72"/>
      <c r="I195" s="72"/>
      <c r="J195" s="72"/>
      <c r="K195" s="72"/>
    </row>
    <row r="199" spans="1:11" x14ac:dyDescent="0.2">
      <c r="A199" s="2" t="s">
        <v>148</v>
      </c>
      <c r="C199" s="56" t="s">
        <v>344</v>
      </c>
    </row>
    <row r="200" spans="1:11" x14ac:dyDescent="0.2">
      <c r="C200" s="34" t="s">
        <v>39</v>
      </c>
    </row>
    <row r="203" spans="1:11" x14ac:dyDescent="0.2">
      <c r="A203" s="2" t="s">
        <v>345</v>
      </c>
      <c r="C203" s="34" t="s">
        <v>346</v>
      </c>
    </row>
    <row r="204" spans="1:11" x14ac:dyDescent="0.2">
      <c r="C204" s="34" t="s">
        <v>347</v>
      </c>
    </row>
    <row r="205" spans="1:11" x14ac:dyDescent="0.2">
      <c r="C205" s="34" t="s">
        <v>348</v>
      </c>
    </row>
    <row r="208" spans="1:11" x14ac:dyDescent="0.2">
      <c r="A208" s="2" t="s">
        <v>349</v>
      </c>
    </row>
    <row r="210" spans="1:12" x14ac:dyDescent="0.2">
      <c r="A210" s="2" t="s">
        <v>337</v>
      </c>
      <c r="C210" s="34" t="s">
        <v>351</v>
      </c>
    </row>
    <row r="211" spans="1:12" x14ac:dyDescent="0.2">
      <c r="C211" s="34" t="s">
        <v>39</v>
      </c>
    </row>
    <row r="213" spans="1:12" x14ac:dyDescent="0.2">
      <c r="A213" s="2" t="s">
        <v>148</v>
      </c>
      <c r="C213" s="34" t="s">
        <v>366</v>
      </c>
    </row>
    <row r="215" spans="1:12" x14ac:dyDescent="0.2">
      <c r="A215" s="2" t="s">
        <v>151</v>
      </c>
      <c r="C215" s="34" t="s">
        <v>372</v>
      </c>
    </row>
    <row r="216" spans="1:12" x14ac:dyDescent="0.2">
      <c r="C216" s="34" t="s">
        <v>39</v>
      </c>
    </row>
    <row r="218" spans="1:12" x14ac:dyDescent="0.2">
      <c r="A218" s="2" t="s">
        <v>148</v>
      </c>
      <c r="C218" s="34" t="s">
        <v>374</v>
      </c>
    </row>
    <row r="221" spans="1:12" x14ac:dyDescent="0.2">
      <c r="A221" s="2" t="s">
        <v>337</v>
      </c>
      <c r="C221" s="34" t="s">
        <v>375</v>
      </c>
      <c r="L221" s="2" t="s">
        <v>39</v>
      </c>
    </row>
    <row r="223" spans="1:12" x14ac:dyDescent="0.2">
      <c r="A223" s="2" t="s">
        <v>218</v>
      </c>
      <c r="C223" s="34" t="s">
        <v>461</v>
      </c>
    </row>
    <row r="225" spans="1:11" x14ac:dyDescent="0.2">
      <c r="A225" s="2" t="s">
        <v>420</v>
      </c>
      <c r="C225" s="34" t="s">
        <v>421</v>
      </c>
      <c r="E225" s="85" t="s">
        <v>422</v>
      </c>
    </row>
    <row r="228" spans="1:11" x14ac:dyDescent="0.2">
      <c r="A228" s="91"/>
      <c r="B228" s="91"/>
      <c r="C228" s="92"/>
      <c r="D228" s="91"/>
      <c r="E228" s="91"/>
      <c r="F228" s="91"/>
      <c r="G228" s="91"/>
      <c r="H228" s="91"/>
      <c r="I228" s="91"/>
      <c r="J228" s="91"/>
      <c r="K228" s="91"/>
    </row>
    <row r="230" spans="1:11" x14ac:dyDescent="0.2">
      <c r="A230" s="2" t="s">
        <v>101</v>
      </c>
      <c r="C230" s="34" t="s">
        <v>452</v>
      </c>
    </row>
    <row r="231" spans="1:11" x14ac:dyDescent="0.2">
      <c r="C231" s="34" t="s">
        <v>453</v>
      </c>
    </row>
    <row r="232" spans="1:11" x14ac:dyDescent="0.2">
      <c r="C232" s="34" t="s">
        <v>454</v>
      </c>
    </row>
    <row r="234" spans="1:11" x14ac:dyDescent="0.2">
      <c r="A234" s="35"/>
      <c r="B234" s="35"/>
      <c r="C234" s="93"/>
      <c r="D234" s="35"/>
      <c r="E234" s="35"/>
      <c r="F234" s="35"/>
      <c r="G234" s="35"/>
      <c r="H234" s="35"/>
      <c r="I234" s="35"/>
      <c r="J234" s="35"/>
      <c r="K234" s="35"/>
    </row>
    <row r="235" spans="1:11" x14ac:dyDescent="0.2">
      <c r="A235" s="26" t="s">
        <v>455</v>
      </c>
    </row>
    <row r="237" spans="1:11" x14ac:dyDescent="0.2">
      <c r="A237" s="2" t="s">
        <v>456</v>
      </c>
    </row>
    <row r="238" spans="1:11" x14ac:dyDescent="0.2">
      <c r="A238" s="2" t="s">
        <v>457</v>
      </c>
    </row>
    <row r="239" spans="1:11" x14ac:dyDescent="0.2">
      <c r="A239" s="85" t="s">
        <v>458</v>
      </c>
    </row>
    <row r="240" spans="1:11" x14ac:dyDescent="0.2">
      <c r="A240" s="2" t="s">
        <v>459</v>
      </c>
    </row>
    <row r="242" spans="1:9" x14ac:dyDescent="0.2">
      <c r="A242" s="2" t="s">
        <v>460</v>
      </c>
      <c r="I242" s="2" t="s">
        <v>462</v>
      </c>
    </row>
    <row r="245" spans="1:9" x14ac:dyDescent="0.2">
      <c r="A245" s="2" t="s">
        <v>463</v>
      </c>
    </row>
    <row r="248" spans="1:9" x14ac:dyDescent="0.2">
      <c r="A248" s="2" t="s">
        <v>601</v>
      </c>
    </row>
    <row r="249" spans="1:9" x14ac:dyDescent="0.2">
      <c r="A249" s="2" t="s">
        <v>602</v>
      </c>
    </row>
    <row r="251" spans="1:9" x14ac:dyDescent="0.2">
      <c r="A251" s="2" t="s">
        <v>603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zoomScaleNormal="100" workbookViewId="0">
      <selection activeCell="C11" sqref="C11"/>
    </sheetView>
  </sheetViews>
  <sheetFormatPr defaultColWidth="11.43359375" defaultRowHeight="15" x14ac:dyDescent="0.2"/>
  <cols>
    <col min="1" max="1" width="17.62109375" style="2" customWidth="1"/>
    <col min="2" max="2" width="12.9140625" style="51" customWidth="1"/>
    <col min="3" max="4" width="18.96484375" style="34" customWidth="1"/>
    <col min="5" max="5" width="15.87109375" style="2" customWidth="1"/>
    <col min="6" max="6" width="11.43359375" style="51"/>
    <col min="7" max="9" width="11.43359375" style="2"/>
    <col min="10" max="10" width="13.5859375" style="2" customWidth="1"/>
    <col min="11" max="15" width="11.43359375" style="2"/>
    <col min="16" max="16" width="12.64453125" style="2" customWidth="1"/>
    <col min="17" max="16384" width="11.43359375" style="2"/>
  </cols>
  <sheetData>
    <row r="1" spans="1:6" x14ac:dyDescent="0.2">
      <c r="C1" s="34" t="s">
        <v>202</v>
      </c>
      <c r="E1" s="2" t="s">
        <v>216</v>
      </c>
    </row>
    <row r="4" spans="1:6" x14ac:dyDescent="0.2">
      <c r="A4" s="2" t="s">
        <v>198</v>
      </c>
      <c r="C4" s="34">
        <v>407000</v>
      </c>
      <c r="D4" s="34">
        <v>411900</v>
      </c>
      <c r="E4" s="34">
        <v>409000</v>
      </c>
    </row>
    <row r="6" spans="1:6" x14ac:dyDescent="0.2">
      <c r="A6" s="2" t="s">
        <v>199</v>
      </c>
      <c r="B6" s="51">
        <v>43281</v>
      </c>
      <c r="C6" s="2">
        <v>510</v>
      </c>
      <c r="D6" s="2">
        <v>0</v>
      </c>
      <c r="E6" s="2">
        <v>510</v>
      </c>
      <c r="F6" s="51">
        <v>43100</v>
      </c>
    </row>
    <row r="7" spans="1:6" x14ac:dyDescent="0.2">
      <c r="A7" s="2" t="s">
        <v>200</v>
      </c>
      <c r="B7" s="51">
        <v>43281</v>
      </c>
      <c r="C7" s="2">
        <v>510</v>
      </c>
      <c r="D7" s="2">
        <v>107.1</v>
      </c>
      <c r="E7" s="2">
        <v>510</v>
      </c>
      <c r="F7" s="51">
        <v>43100</v>
      </c>
    </row>
    <row r="8" spans="1:6" x14ac:dyDescent="0.2">
      <c r="A8" s="2" t="s">
        <v>201</v>
      </c>
      <c r="B8" s="51">
        <v>43281</v>
      </c>
      <c r="C8" s="2">
        <v>40</v>
      </c>
      <c r="D8" s="2">
        <v>8.4</v>
      </c>
      <c r="E8" s="2">
        <v>40</v>
      </c>
      <c r="F8" s="51">
        <v>43100</v>
      </c>
    </row>
    <row r="9" spans="1:6" x14ac:dyDescent="0.2">
      <c r="A9" s="2" t="s">
        <v>203</v>
      </c>
      <c r="B9" s="51">
        <v>43281</v>
      </c>
      <c r="C9" s="2">
        <v>75</v>
      </c>
      <c r="D9" s="2">
        <v>15.75</v>
      </c>
      <c r="E9" s="2">
        <v>75</v>
      </c>
      <c r="F9" s="51">
        <v>43100</v>
      </c>
    </row>
    <row r="10" spans="1:6" x14ac:dyDescent="0.2">
      <c r="A10" s="2" t="s">
        <v>204</v>
      </c>
      <c r="B10" s="51">
        <v>43281</v>
      </c>
      <c r="C10" s="2">
        <v>16.27</v>
      </c>
      <c r="D10" s="2">
        <v>3.42</v>
      </c>
      <c r="E10" s="2">
        <v>16.27</v>
      </c>
      <c r="F10" s="51">
        <v>43100</v>
      </c>
    </row>
    <row r="11" spans="1:6" x14ac:dyDescent="0.2">
      <c r="A11" s="2" t="s">
        <v>205</v>
      </c>
      <c r="B11" s="51">
        <v>43281</v>
      </c>
      <c r="C11" s="2" t="s">
        <v>39</v>
      </c>
      <c r="D11" s="2">
        <v>4.2</v>
      </c>
      <c r="E11" s="2">
        <v>20</v>
      </c>
      <c r="F11" s="51">
        <v>43100</v>
      </c>
    </row>
    <row r="12" spans="1:6" x14ac:dyDescent="0.2">
      <c r="A12" s="2" t="s">
        <v>206</v>
      </c>
      <c r="B12" s="51">
        <v>43281</v>
      </c>
      <c r="C12" s="2">
        <v>312.5</v>
      </c>
      <c r="D12" s="2">
        <v>65.63</v>
      </c>
      <c r="E12" s="2">
        <v>312.5</v>
      </c>
      <c r="F12" s="51">
        <v>43100</v>
      </c>
    </row>
    <row r="13" spans="1:6" x14ac:dyDescent="0.2">
      <c r="A13" s="2" t="s">
        <v>207</v>
      </c>
      <c r="B13" s="51">
        <v>43281</v>
      </c>
      <c r="C13" s="2">
        <v>3.47</v>
      </c>
      <c r="D13" s="2">
        <v>0.73</v>
      </c>
      <c r="E13" s="2">
        <v>3.47</v>
      </c>
      <c r="F13" s="51">
        <v>43100</v>
      </c>
    </row>
    <row r="14" spans="1:6" x14ac:dyDescent="0.2">
      <c r="A14" s="2" t="s">
        <v>208</v>
      </c>
      <c r="B14" s="51">
        <v>43281</v>
      </c>
      <c r="C14" s="2">
        <v>125</v>
      </c>
      <c r="D14" s="2">
        <v>26.25</v>
      </c>
      <c r="E14" s="2">
        <v>125</v>
      </c>
      <c r="F14" s="51">
        <v>43100</v>
      </c>
    </row>
    <row r="15" spans="1:6" x14ac:dyDescent="0.2">
      <c r="A15" s="2" t="s">
        <v>209</v>
      </c>
      <c r="B15" s="51">
        <v>43281</v>
      </c>
      <c r="C15" s="2">
        <v>1800</v>
      </c>
      <c r="D15" s="2">
        <v>378</v>
      </c>
      <c r="E15" s="2">
        <v>1800</v>
      </c>
      <c r="F15" s="51">
        <v>43100</v>
      </c>
    </row>
    <row r="16" spans="1:6" x14ac:dyDescent="0.2">
      <c r="A16" s="2" t="s">
        <v>210</v>
      </c>
      <c r="B16" s="51">
        <v>43281</v>
      </c>
      <c r="C16" s="52">
        <v>380</v>
      </c>
      <c r="D16" s="52">
        <v>79.8</v>
      </c>
      <c r="E16" s="52">
        <v>380</v>
      </c>
      <c r="F16" s="51">
        <v>43100</v>
      </c>
    </row>
    <row r="17" spans="1:6" x14ac:dyDescent="0.2">
      <c r="A17" s="2" t="s">
        <v>211</v>
      </c>
      <c r="B17" s="51">
        <v>43281</v>
      </c>
      <c r="C17" s="52">
        <v>60</v>
      </c>
      <c r="D17" s="52">
        <v>12.6</v>
      </c>
      <c r="E17" s="52">
        <v>60</v>
      </c>
      <c r="F17" s="51">
        <v>43100</v>
      </c>
    </row>
    <row r="18" spans="1:6" x14ac:dyDescent="0.2">
      <c r="A18" s="2" t="s">
        <v>212</v>
      </c>
      <c r="B18" s="51">
        <v>43281</v>
      </c>
      <c r="C18" s="52">
        <v>149.25</v>
      </c>
      <c r="D18" s="52">
        <v>31.5</v>
      </c>
      <c r="E18" s="52">
        <v>149.25</v>
      </c>
      <c r="F18" s="51">
        <v>43100</v>
      </c>
    </row>
    <row r="19" spans="1:6" x14ac:dyDescent="0.2">
      <c r="A19" s="2" t="s">
        <v>213</v>
      </c>
      <c r="B19" s="51">
        <v>43281</v>
      </c>
      <c r="C19" s="52">
        <v>484.35</v>
      </c>
      <c r="D19" s="52">
        <v>101.71</v>
      </c>
      <c r="E19" s="52">
        <v>484.35</v>
      </c>
      <c r="F19" s="51">
        <v>43100</v>
      </c>
    </row>
    <row r="20" spans="1:6" x14ac:dyDescent="0.2">
      <c r="A20" s="2" t="s">
        <v>214</v>
      </c>
      <c r="B20" s="51">
        <v>43281</v>
      </c>
      <c r="C20" s="52">
        <v>255</v>
      </c>
      <c r="D20" s="52">
        <v>53.55</v>
      </c>
      <c r="E20" s="52">
        <v>255</v>
      </c>
      <c r="F20" s="51">
        <v>43100</v>
      </c>
    </row>
    <row r="21" spans="1:6" x14ac:dyDescent="0.2">
      <c r="A21" s="2" t="s">
        <v>215</v>
      </c>
      <c r="B21" s="51">
        <v>43281</v>
      </c>
      <c r="C21" s="52">
        <v>90</v>
      </c>
      <c r="D21" s="52">
        <v>0</v>
      </c>
      <c r="E21" s="52">
        <v>90</v>
      </c>
      <c r="F21" s="51">
        <v>43100</v>
      </c>
    </row>
    <row r="22" spans="1:6" x14ac:dyDescent="0.2">
      <c r="C22" s="53">
        <f>SUM(C6:C21)</f>
        <v>4810.84</v>
      </c>
      <c r="D22" s="53">
        <f t="shared" ref="D22:E22" si="0">SUM(D6:D21)</f>
        <v>888.64</v>
      </c>
      <c r="E22" s="53">
        <f t="shared" si="0"/>
        <v>4830.84</v>
      </c>
    </row>
    <row r="23" spans="1:6" x14ac:dyDescent="0.2">
      <c r="C23" s="52"/>
      <c r="D23" s="52"/>
      <c r="E23" s="52"/>
    </row>
    <row r="24" spans="1:6" x14ac:dyDescent="0.2">
      <c r="C24" s="52"/>
      <c r="D24" s="52"/>
      <c r="E24" s="52"/>
    </row>
    <row r="25" spans="1:6" x14ac:dyDescent="0.2">
      <c r="C25" s="52"/>
      <c r="D25" s="52"/>
      <c r="E25" s="52"/>
    </row>
    <row r="26" spans="1:6" x14ac:dyDescent="0.2">
      <c r="C26" s="52"/>
      <c r="D26" s="52"/>
      <c r="E26" s="52"/>
    </row>
    <row r="27" spans="1:6" x14ac:dyDescent="0.2">
      <c r="C27" s="52"/>
      <c r="D27" s="52"/>
      <c r="E27" s="52"/>
    </row>
    <row r="28" spans="1:6" x14ac:dyDescent="0.2">
      <c r="C28" s="52"/>
      <c r="D28" s="52"/>
      <c r="E28" s="52"/>
    </row>
    <row r="29" spans="1:6" x14ac:dyDescent="0.2">
      <c r="C29" s="52"/>
      <c r="D29" s="52"/>
      <c r="E29" s="52"/>
    </row>
    <row r="30" spans="1:6" x14ac:dyDescent="0.2">
      <c r="C30" s="52"/>
      <c r="D30" s="52"/>
      <c r="E30" s="52"/>
    </row>
    <row r="31" spans="1:6" x14ac:dyDescent="0.2">
      <c r="C31" s="52"/>
      <c r="D31" s="52"/>
      <c r="E31" s="52"/>
    </row>
    <row r="32" spans="1:6" ht="5.25" customHeight="1" x14ac:dyDescent="0.2">
      <c r="C32" s="52"/>
      <c r="D32" s="52"/>
      <c r="E32" s="52"/>
    </row>
    <row r="33" spans="3:5" x14ac:dyDescent="0.2">
      <c r="C33" s="52"/>
      <c r="D33" s="52"/>
      <c r="E33" s="52"/>
    </row>
    <row r="34" spans="3:5" x14ac:dyDescent="0.2">
      <c r="C34" s="52"/>
      <c r="D34" s="52"/>
      <c r="E34" s="52"/>
    </row>
    <row r="35" spans="3:5" x14ac:dyDescent="0.2">
      <c r="C35" s="52"/>
      <c r="D35" s="52"/>
      <c r="E35" s="52"/>
    </row>
    <row r="36" spans="3:5" x14ac:dyDescent="0.2">
      <c r="C36" s="52"/>
      <c r="D36" s="52"/>
      <c r="E36" s="52"/>
    </row>
    <row r="37" spans="3:5" x14ac:dyDescent="0.2">
      <c r="C37" s="52"/>
      <c r="D37" s="52"/>
      <c r="E37" s="52"/>
    </row>
    <row r="38" spans="3:5" x14ac:dyDescent="0.2">
      <c r="C38" s="52"/>
      <c r="D38" s="52"/>
      <c r="E38" s="52"/>
    </row>
    <row r="39" spans="3:5" x14ac:dyDescent="0.2">
      <c r="C39" s="52"/>
      <c r="D39" s="52"/>
      <c r="E39" s="52"/>
    </row>
    <row r="40" spans="3:5" x14ac:dyDescent="0.2">
      <c r="C40" s="52"/>
      <c r="D40" s="52"/>
      <c r="E40" s="52"/>
    </row>
    <row r="41" spans="3:5" x14ac:dyDescent="0.2">
      <c r="C41" s="52"/>
      <c r="D41" s="52"/>
      <c r="E41" s="52"/>
    </row>
    <row r="42" spans="3:5" x14ac:dyDescent="0.2">
      <c r="C42" s="52"/>
      <c r="D42" s="52"/>
      <c r="E42" s="52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topLeftCell="A29" zoomScaleNormal="100" workbookViewId="0">
      <selection activeCell="L43" sqref="L43"/>
    </sheetView>
  </sheetViews>
  <sheetFormatPr defaultColWidth="10.76171875" defaultRowHeight="15" x14ac:dyDescent="0.2"/>
  <sheetData>
    <row r="1" spans="1:1" x14ac:dyDescent="0.2">
      <c r="A1" s="29" t="s">
        <v>90</v>
      </c>
    </row>
    <row r="2" spans="1:1" x14ac:dyDescent="0.2">
      <c r="A2" s="29" t="s">
        <v>376</v>
      </c>
    </row>
    <row r="3" spans="1:1" x14ac:dyDescent="0.2">
      <c r="A3" s="29" t="s">
        <v>377</v>
      </c>
    </row>
    <row r="4" spans="1:1" x14ac:dyDescent="0.2">
      <c r="A4" s="29" t="s">
        <v>378</v>
      </c>
    </row>
    <row r="5" spans="1:1" x14ac:dyDescent="0.2">
      <c r="A5" s="29" t="s">
        <v>390</v>
      </c>
    </row>
    <row r="6" spans="1:1" x14ac:dyDescent="0.2">
      <c r="A6" s="29" t="s">
        <v>39</v>
      </c>
    </row>
    <row r="7" spans="1:1" x14ac:dyDescent="0.2">
      <c r="A7" s="29"/>
    </row>
    <row r="8" spans="1:1" x14ac:dyDescent="0.2">
      <c r="A8" s="29"/>
    </row>
    <row r="9" spans="1:1" x14ac:dyDescent="0.2">
      <c r="A9" s="29" t="s">
        <v>254</v>
      </c>
    </row>
    <row r="10" spans="1:1" x14ac:dyDescent="0.2">
      <c r="A10" s="29" t="s">
        <v>255</v>
      </c>
    </row>
    <row r="11" spans="1:1" x14ac:dyDescent="0.2">
      <c r="A11" s="29"/>
    </row>
    <row r="12" spans="1:1" x14ac:dyDescent="0.2">
      <c r="A12" s="29"/>
    </row>
    <row r="13" spans="1:1" x14ac:dyDescent="0.2">
      <c r="A13" s="29"/>
    </row>
    <row r="14" spans="1:1" x14ac:dyDescent="0.2">
      <c r="A14" s="29"/>
    </row>
    <row r="15" spans="1:1" x14ac:dyDescent="0.2">
      <c r="A15" s="29"/>
    </row>
    <row r="16" spans="1:1" x14ac:dyDescent="0.2">
      <c r="A16" s="29" t="s">
        <v>253</v>
      </c>
    </row>
    <row r="17" spans="1:13" x14ac:dyDescent="0.2">
      <c r="A17" s="29" t="s">
        <v>381</v>
      </c>
    </row>
    <row r="18" spans="1:13" x14ac:dyDescent="0.2">
      <c r="A18" s="29"/>
    </row>
    <row r="19" spans="1:13" x14ac:dyDescent="0.2">
      <c r="A19" s="29"/>
    </row>
    <row r="20" spans="1:13" x14ac:dyDescent="0.2">
      <c r="A20" s="29"/>
    </row>
    <row r="21" spans="1:13" x14ac:dyDescent="0.2">
      <c r="A21" s="29" t="s">
        <v>379</v>
      </c>
    </row>
    <row r="22" spans="1:13" x14ac:dyDescent="0.2">
      <c r="A22" s="29"/>
    </row>
    <row r="23" spans="1:13" x14ac:dyDescent="0.2">
      <c r="A23" s="29" t="s">
        <v>380</v>
      </c>
    </row>
    <row r="24" spans="1:13" x14ac:dyDescent="0.2">
      <c r="A24" s="29"/>
    </row>
    <row r="25" spans="1:13" x14ac:dyDescent="0.2">
      <c r="A25" s="29"/>
      <c r="M25" t="s">
        <v>39</v>
      </c>
    </row>
    <row r="27" spans="1:13" x14ac:dyDescent="0.2">
      <c r="A27" t="s">
        <v>91</v>
      </c>
    </row>
    <row r="31" spans="1:13" x14ac:dyDescent="0.2">
      <c r="A31" t="s">
        <v>382</v>
      </c>
    </row>
    <row r="32" spans="1:13" x14ac:dyDescent="0.2">
      <c r="A32" t="s">
        <v>383</v>
      </c>
    </row>
    <row r="33" spans="1:2" x14ac:dyDescent="0.2">
      <c r="A33" t="s">
        <v>384</v>
      </c>
    </row>
    <row r="34" spans="1:2" x14ac:dyDescent="0.2">
      <c r="A34" t="s">
        <v>396</v>
      </c>
    </row>
    <row r="39" spans="1:2" x14ac:dyDescent="0.2">
      <c r="A39" s="29" t="s">
        <v>385</v>
      </c>
      <c r="B39" s="4"/>
    </row>
    <row r="40" spans="1:2" x14ac:dyDescent="0.2">
      <c r="A40" s="29" t="s">
        <v>411</v>
      </c>
      <c r="B40" s="4"/>
    </row>
    <row r="41" spans="1:2" x14ac:dyDescent="0.2">
      <c r="A41" s="29"/>
      <c r="B41" s="4"/>
    </row>
    <row r="42" spans="1:2" x14ac:dyDescent="0.2">
      <c r="A42" s="29"/>
      <c r="B42" s="4"/>
    </row>
    <row r="43" spans="1:2" x14ac:dyDescent="0.2">
      <c r="A43" s="29" t="s">
        <v>412</v>
      </c>
      <c r="B43" s="4"/>
    </row>
    <row r="44" spans="1:2" x14ac:dyDescent="0.2">
      <c r="A44" s="29"/>
      <c r="B44" s="4"/>
    </row>
    <row r="45" spans="1:2" x14ac:dyDescent="0.2">
      <c r="A45" s="29"/>
      <c r="B45" s="4"/>
    </row>
    <row r="46" spans="1:2" x14ac:dyDescent="0.2">
      <c r="A46" s="29"/>
      <c r="B46" s="4"/>
    </row>
    <row r="48" spans="1:2" x14ac:dyDescent="0.2">
      <c r="A48" t="s">
        <v>386</v>
      </c>
    </row>
    <row r="49" spans="1:7" x14ac:dyDescent="0.2">
      <c r="A49" t="s">
        <v>468</v>
      </c>
    </row>
    <row r="50" spans="1:7" x14ac:dyDescent="0.2">
      <c r="A50" t="s">
        <v>39</v>
      </c>
    </row>
    <row r="53" spans="1:7" x14ac:dyDescent="0.2">
      <c r="A53" s="1" t="s">
        <v>262</v>
      </c>
      <c r="G53" t="s">
        <v>39</v>
      </c>
    </row>
    <row r="55" spans="1:7" x14ac:dyDescent="0.2">
      <c r="A55" t="s">
        <v>263</v>
      </c>
    </row>
    <row r="57" spans="1:7" x14ac:dyDescent="0.2">
      <c r="A57" t="s">
        <v>387</v>
      </c>
    </row>
    <row r="58" spans="1:7" x14ac:dyDescent="0.2">
      <c r="A58" t="s">
        <v>388</v>
      </c>
    </row>
    <row r="60" spans="1:7" x14ac:dyDescent="0.2">
      <c r="A60" s="29" t="s">
        <v>391</v>
      </c>
    </row>
    <row r="62" spans="1:7" x14ac:dyDescent="0.2">
      <c r="A62" t="s">
        <v>392</v>
      </c>
    </row>
    <row r="63" spans="1:7" x14ac:dyDescent="0.2">
      <c r="A63" t="s">
        <v>393</v>
      </c>
    </row>
    <row r="64" spans="1:7" x14ac:dyDescent="0.2">
      <c r="A64" t="s">
        <v>394</v>
      </c>
    </row>
    <row r="65" spans="1:13" x14ac:dyDescent="0.2">
      <c r="A65" s="36" t="s">
        <v>409</v>
      </c>
    </row>
    <row r="66" spans="1:13" x14ac:dyDescent="0.2">
      <c r="A66" t="s">
        <v>395</v>
      </c>
    </row>
    <row r="67" spans="1:13" x14ac:dyDescent="0.2">
      <c r="A67" s="84" t="s">
        <v>410</v>
      </c>
    </row>
    <row r="70" spans="1:13" x14ac:dyDescent="0.2">
      <c r="A70" t="s">
        <v>389</v>
      </c>
    </row>
    <row r="77" spans="1:13" x14ac:dyDescent="0.2">
      <c r="A77" s="29" t="s">
        <v>407</v>
      </c>
      <c r="M77" t="s">
        <v>39</v>
      </c>
    </row>
    <row r="78" spans="1:13" x14ac:dyDescent="0.2">
      <c r="B78" s="83">
        <v>43495</v>
      </c>
    </row>
    <row r="79" spans="1:13" x14ac:dyDescent="0.2">
      <c r="B79" s="83">
        <v>43585</v>
      </c>
    </row>
    <row r="80" spans="1:13" x14ac:dyDescent="0.2">
      <c r="B80" s="83">
        <v>43677</v>
      </c>
    </row>
    <row r="81" spans="1:4" x14ac:dyDescent="0.2">
      <c r="B81" s="83">
        <v>43769</v>
      </c>
    </row>
    <row r="84" spans="1:4" x14ac:dyDescent="0.2">
      <c r="B84" t="s">
        <v>408</v>
      </c>
    </row>
    <row r="88" spans="1:4" x14ac:dyDescent="0.2">
      <c r="A88" s="29" t="s">
        <v>419</v>
      </c>
    </row>
    <row r="89" spans="1:4" x14ac:dyDescent="0.2">
      <c r="A89" t="s">
        <v>413</v>
      </c>
    </row>
    <row r="90" spans="1:4" x14ac:dyDescent="0.2">
      <c r="A90" t="s">
        <v>414</v>
      </c>
      <c r="C90" s="84" t="s">
        <v>418</v>
      </c>
    </row>
    <row r="91" spans="1:4" x14ac:dyDescent="0.2">
      <c r="A91" t="s">
        <v>415</v>
      </c>
      <c r="D91" t="s">
        <v>417</v>
      </c>
    </row>
    <row r="92" spans="1:4" x14ac:dyDescent="0.2">
      <c r="A92" t="s">
        <v>416</v>
      </c>
    </row>
  </sheetData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6"/>
  <sheetViews>
    <sheetView topLeftCell="A59" zoomScaleNormal="100" workbookViewId="0">
      <selection activeCell="A86" sqref="A86"/>
    </sheetView>
  </sheetViews>
  <sheetFormatPr defaultColWidth="10.76171875" defaultRowHeight="15" x14ac:dyDescent="0.2"/>
  <cols>
    <col min="2" max="2" width="17.08203125" customWidth="1"/>
    <col min="3" max="3" width="14.390625" style="2" bestFit="1" customWidth="1"/>
    <col min="5" max="5" width="11.43359375" style="2"/>
  </cols>
  <sheetData>
    <row r="1" spans="1:2" x14ac:dyDescent="0.2">
      <c r="A1" s="29" t="s">
        <v>95</v>
      </c>
    </row>
    <row r="3" spans="1:2" x14ac:dyDescent="0.2">
      <c r="A3" s="1" t="s">
        <v>96</v>
      </c>
      <c r="B3" t="s">
        <v>97</v>
      </c>
    </row>
    <row r="4" spans="1:2" x14ac:dyDescent="0.2">
      <c r="B4" t="s">
        <v>98</v>
      </c>
    </row>
    <row r="6" spans="1:2" x14ac:dyDescent="0.2">
      <c r="B6" t="s">
        <v>256</v>
      </c>
    </row>
    <row r="9" spans="1:2" x14ac:dyDescent="0.2">
      <c r="B9" s="29" t="s">
        <v>445</v>
      </c>
    </row>
    <row r="10" spans="1:2" x14ac:dyDescent="0.2">
      <c r="B10" t="s">
        <v>586</v>
      </c>
    </row>
    <row r="17" spans="1:3" x14ac:dyDescent="0.2">
      <c r="B17" t="s">
        <v>446</v>
      </c>
    </row>
    <row r="19" spans="1:3" x14ac:dyDescent="0.2">
      <c r="B19" t="s">
        <v>447</v>
      </c>
    </row>
    <row r="24" spans="1:3" x14ac:dyDescent="0.2">
      <c r="A24" s="1" t="s">
        <v>99</v>
      </c>
      <c r="B24" t="s">
        <v>100</v>
      </c>
    </row>
    <row r="26" spans="1:3" x14ac:dyDescent="0.2">
      <c r="B26" t="s">
        <v>39</v>
      </c>
    </row>
    <row r="27" spans="1:3" x14ac:dyDescent="0.2">
      <c r="A27" s="1" t="s">
        <v>101</v>
      </c>
    </row>
    <row r="28" spans="1:3" x14ac:dyDescent="0.2">
      <c r="B28" t="s">
        <v>102</v>
      </c>
      <c r="C28" s="36">
        <v>0.6</v>
      </c>
    </row>
    <row r="29" spans="1:3" x14ac:dyDescent="0.2">
      <c r="B29" t="s">
        <v>128</v>
      </c>
      <c r="C29" s="36">
        <v>0.3</v>
      </c>
    </row>
    <row r="30" spans="1:3" x14ac:dyDescent="0.2">
      <c r="B30" s="4" t="s">
        <v>127</v>
      </c>
      <c r="C30" s="36">
        <v>0.1</v>
      </c>
    </row>
    <row r="33" spans="2:9" x14ac:dyDescent="0.2">
      <c r="B33" s="4"/>
      <c r="C33" s="3"/>
    </row>
    <row r="34" spans="2:9" x14ac:dyDescent="0.2">
      <c r="B34" t="s">
        <v>102</v>
      </c>
      <c r="C34" s="2">
        <v>456373.04</v>
      </c>
    </row>
    <row r="35" spans="2:9" x14ac:dyDescent="0.2">
      <c r="B35" t="s">
        <v>103</v>
      </c>
      <c r="C35" s="2">
        <v>304248.7</v>
      </c>
    </row>
    <row r="36" spans="2:9" x14ac:dyDescent="0.2">
      <c r="B36" s="4"/>
      <c r="C36" s="3">
        <f>SUM(C34:C35)</f>
        <v>760621.74</v>
      </c>
    </row>
    <row r="38" spans="2:9" x14ac:dyDescent="0.2">
      <c r="B38" s="29" t="s">
        <v>257</v>
      </c>
    </row>
    <row r="39" spans="2:9" x14ac:dyDescent="0.2">
      <c r="B39" t="s">
        <v>258</v>
      </c>
    </row>
    <row r="40" spans="2:9" x14ac:dyDescent="0.2">
      <c r="B40" t="s">
        <v>259</v>
      </c>
    </row>
    <row r="41" spans="2:9" x14ac:dyDescent="0.2">
      <c r="B41" t="s">
        <v>260</v>
      </c>
    </row>
    <row r="42" spans="2:9" x14ac:dyDescent="0.2">
      <c r="B42" t="s">
        <v>261</v>
      </c>
    </row>
    <row r="44" spans="2:9" x14ac:dyDescent="0.2">
      <c r="B44" t="s">
        <v>585</v>
      </c>
      <c r="C44" s="2">
        <v>414619</v>
      </c>
    </row>
    <row r="45" spans="2:9" x14ac:dyDescent="0.2">
      <c r="B45" t="s">
        <v>39</v>
      </c>
      <c r="C45" s="2">
        <v>736323</v>
      </c>
    </row>
    <row r="48" spans="2:9" x14ac:dyDescent="0.2">
      <c r="B48" t="s">
        <v>439</v>
      </c>
      <c r="F48" t="s">
        <v>448</v>
      </c>
      <c r="I48" t="s">
        <v>449</v>
      </c>
    </row>
    <row r="49" spans="1:10" x14ac:dyDescent="0.2">
      <c r="B49" s="84" t="s">
        <v>440</v>
      </c>
    </row>
    <row r="50" spans="1:10" x14ac:dyDescent="0.2">
      <c r="B50" s="90" t="s">
        <v>441</v>
      </c>
    </row>
    <row r="51" spans="1:10" x14ac:dyDescent="0.2">
      <c r="B51" t="s">
        <v>443</v>
      </c>
    </row>
    <row r="52" spans="1:10" x14ac:dyDescent="0.2">
      <c r="B52" s="90" t="s">
        <v>442</v>
      </c>
    </row>
    <row r="53" spans="1:10" x14ac:dyDescent="0.2">
      <c r="B53" s="84" t="s">
        <v>444</v>
      </c>
    </row>
    <row r="55" spans="1:10" x14ac:dyDescent="0.2">
      <c r="A55" t="s">
        <v>435</v>
      </c>
    </row>
    <row r="56" spans="1:10" x14ac:dyDescent="0.2">
      <c r="A56" t="s">
        <v>436</v>
      </c>
    </row>
    <row r="57" spans="1:10" x14ac:dyDescent="0.2">
      <c r="A57" s="1" t="s">
        <v>266</v>
      </c>
      <c r="B57" s="1"/>
      <c r="C57" s="63"/>
      <c r="D57" s="1"/>
      <c r="E57" s="63"/>
      <c r="F57" s="1"/>
      <c r="G57" s="1"/>
      <c r="H57" s="1"/>
      <c r="I57" s="1"/>
      <c r="J57" s="1"/>
    </row>
    <row r="58" spans="1:10" x14ac:dyDescent="0.2">
      <c r="A58" s="1" t="s">
        <v>267</v>
      </c>
      <c r="B58" s="1"/>
      <c r="C58" s="63"/>
      <c r="D58" s="1"/>
      <c r="E58" s="63"/>
      <c r="F58" s="1"/>
      <c r="G58" s="1"/>
      <c r="H58" s="1"/>
      <c r="I58" s="1"/>
      <c r="J58" s="1"/>
    </row>
    <row r="59" spans="1:10" x14ac:dyDescent="0.2">
      <c r="A59" t="s">
        <v>284</v>
      </c>
    </row>
    <row r="60" spans="1:10" x14ac:dyDescent="0.2">
      <c r="A60" t="s">
        <v>438</v>
      </c>
    </row>
    <row r="62" spans="1:10" x14ac:dyDescent="0.2">
      <c r="A62" s="29" t="s">
        <v>104</v>
      </c>
    </row>
    <row r="63" spans="1:10" x14ac:dyDescent="0.2">
      <c r="A63" s="29" t="s">
        <v>112</v>
      </c>
    </row>
    <row r="64" spans="1:10" x14ac:dyDescent="0.2">
      <c r="A64" t="s">
        <v>39</v>
      </c>
      <c r="E64" s="2">
        <v>121891</v>
      </c>
    </row>
    <row r="68" spans="1:6" x14ac:dyDescent="0.2">
      <c r="A68" t="s">
        <v>113</v>
      </c>
    </row>
    <row r="69" spans="1:6" x14ac:dyDescent="0.2">
      <c r="A69" t="s">
        <v>114</v>
      </c>
    </row>
    <row r="70" spans="1:6" x14ac:dyDescent="0.2">
      <c r="A70" t="s">
        <v>115</v>
      </c>
    </row>
    <row r="71" spans="1:6" x14ac:dyDescent="0.2">
      <c r="A71" t="s">
        <v>116</v>
      </c>
    </row>
    <row r="72" spans="1:6" x14ac:dyDescent="0.2">
      <c r="A72" t="s">
        <v>117</v>
      </c>
    </row>
    <row r="76" spans="1:6" x14ac:dyDescent="0.2">
      <c r="A76" t="s">
        <v>228</v>
      </c>
    </row>
    <row r="78" spans="1:6" x14ac:dyDescent="0.2">
      <c r="A78" s="29" t="s">
        <v>229</v>
      </c>
      <c r="B78" s="29"/>
      <c r="C78" s="26"/>
      <c r="D78" s="29"/>
      <c r="E78" s="26"/>
      <c r="F78" s="29"/>
    </row>
    <row r="79" spans="1:6" x14ac:dyDescent="0.2">
      <c r="A79" t="s">
        <v>437</v>
      </c>
    </row>
    <row r="80" spans="1:6" x14ac:dyDescent="0.2">
      <c r="A80" t="s">
        <v>434</v>
      </c>
    </row>
    <row r="84" spans="1:1" x14ac:dyDescent="0.2">
      <c r="A84" s="29" t="s">
        <v>598</v>
      </c>
    </row>
    <row r="85" spans="1:1" x14ac:dyDescent="0.2">
      <c r="A85" s="29" t="s">
        <v>599</v>
      </c>
    </row>
    <row r="86" spans="1:1" x14ac:dyDescent="0.2">
      <c r="A86" s="29" t="s">
        <v>600</v>
      </c>
    </row>
  </sheetData>
  <pageMargins left="0.7" right="0.7" top="0.75" bottom="0.75" header="0.3" footer="0.3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113"/>
  <sheetViews>
    <sheetView topLeftCell="A26" zoomScaleNormal="100" workbookViewId="0">
      <selection activeCell="A24" sqref="A24"/>
    </sheetView>
  </sheetViews>
  <sheetFormatPr defaultColWidth="10.76171875" defaultRowHeight="15" x14ac:dyDescent="0.2"/>
  <cols>
    <col min="3" max="3" width="20.04296875" style="2" customWidth="1"/>
    <col min="4" max="4" width="26.5" style="2" customWidth="1"/>
    <col min="5" max="5" width="67.53125" style="2" customWidth="1"/>
    <col min="6" max="6" width="13.5859375" style="2" customWidth="1"/>
    <col min="7" max="7" width="11.43359375" style="2"/>
    <col min="8" max="8" width="14.9296875" style="2" customWidth="1"/>
    <col min="9" max="9" width="11.43359375" style="2"/>
    <col min="10" max="10" width="14.66015625" style="2" customWidth="1"/>
  </cols>
  <sheetData>
    <row r="2" spans="1:6" x14ac:dyDescent="0.2">
      <c r="B2" t="s">
        <v>433</v>
      </c>
    </row>
    <row r="4" spans="1:6" x14ac:dyDescent="0.2">
      <c r="A4" s="1" t="s">
        <v>119</v>
      </c>
      <c r="B4" t="s">
        <v>244</v>
      </c>
    </row>
    <row r="5" spans="1:6" x14ac:dyDescent="0.2">
      <c r="A5" s="29"/>
      <c r="B5" t="s">
        <v>431</v>
      </c>
    </row>
    <row r="6" spans="1:6" x14ac:dyDescent="0.2">
      <c r="A6" s="29"/>
    </row>
    <row r="7" spans="1:6" x14ac:dyDescent="0.2">
      <c r="A7" s="29"/>
      <c r="B7" s="19" t="s">
        <v>303</v>
      </c>
    </row>
    <row r="8" spans="1:6" x14ac:dyDescent="0.2">
      <c r="A8" s="29"/>
    </row>
    <row r="9" spans="1:6" x14ac:dyDescent="0.2">
      <c r="A9" s="29"/>
    </row>
    <row r="10" spans="1:6" x14ac:dyDescent="0.2">
      <c r="A10" s="29"/>
      <c r="B10" s="29" t="s">
        <v>249</v>
      </c>
    </row>
    <row r="11" spans="1:6" x14ac:dyDescent="0.2">
      <c r="A11" s="29"/>
    </row>
    <row r="12" spans="1:6" x14ac:dyDescent="0.2">
      <c r="A12" s="29"/>
      <c r="B12" s="29" t="s">
        <v>250</v>
      </c>
    </row>
    <row r="13" spans="1:6" x14ac:dyDescent="0.2">
      <c r="A13" s="29"/>
    </row>
    <row r="14" spans="1:6" x14ac:dyDescent="0.2">
      <c r="A14" s="29"/>
      <c r="F14" s="2" t="s">
        <v>39</v>
      </c>
    </row>
    <row r="15" spans="1:6" x14ac:dyDescent="0.2">
      <c r="A15" s="29"/>
      <c r="B15" s="29" t="s">
        <v>243</v>
      </c>
    </row>
    <row r="16" spans="1:6" x14ac:dyDescent="0.2">
      <c r="A16" s="29"/>
      <c r="B16" t="s">
        <v>248</v>
      </c>
    </row>
    <row r="17" spans="1:10" x14ac:dyDescent="0.2">
      <c r="A17" s="29"/>
      <c r="F17" s="2" t="s">
        <v>39</v>
      </c>
    </row>
    <row r="18" spans="1:10" x14ac:dyDescent="0.2">
      <c r="A18" s="29"/>
      <c r="B18" s="29" t="s">
        <v>268</v>
      </c>
      <c r="C18" s="26"/>
      <c r="D18" s="26" t="s">
        <v>269</v>
      </c>
      <c r="E18" s="26"/>
      <c r="H18" s="2" t="s">
        <v>39</v>
      </c>
      <c r="J18" s="2" t="s">
        <v>39</v>
      </c>
    </row>
    <row r="19" spans="1:10" x14ac:dyDescent="0.2">
      <c r="A19" s="29"/>
      <c r="B19" t="s">
        <v>246</v>
      </c>
    </row>
    <row r="20" spans="1:10" x14ac:dyDescent="0.2">
      <c r="A20" s="29"/>
      <c r="B20" s="29" t="s">
        <v>247</v>
      </c>
    </row>
    <row r="21" spans="1:10" x14ac:dyDescent="0.2">
      <c r="A21" s="29"/>
      <c r="B21" t="s">
        <v>270</v>
      </c>
    </row>
    <row r="22" spans="1:10" x14ac:dyDescent="0.2">
      <c r="A22" s="29"/>
    </row>
    <row r="23" spans="1:10" x14ac:dyDescent="0.2">
      <c r="A23" s="33">
        <v>0.4</v>
      </c>
      <c r="B23" t="s">
        <v>102</v>
      </c>
      <c r="D23" s="2" t="s">
        <v>403</v>
      </c>
    </row>
    <row r="24" spans="1:10" x14ac:dyDescent="0.2">
      <c r="A24" s="115">
        <v>0.2</v>
      </c>
      <c r="B24" s="4" t="s">
        <v>405</v>
      </c>
      <c r="C24" s="3"/>
      <c r="D24" s="2" t="s">
        <v>404</v>
      </c>
    </row>
    <row r="25" spans="1:10" x14ac:dyDescent="0.2">
      <c r="A25" s="33">
        <v>0.4</v>
      </c>
      <c r="B25" t="s">
        <v>128</v>
      </c>
      <c r="D25" s="2" t="s">
        <v>271</v>
      </c>
      <c r="J25" s="2" t="s">
        <v>39</v>
      </c>
    </row>
    <row r="26" spans="1:10" x14ac:dyDescent="0.2">
      <c r="A26" s="33"/>
    </row>
    <row r="27" spans="1:10" x14ac:dyDescent="0.2">
      <c r="A27" s="33"/>
    </row>
    <row r="28" spans="1:10" x14ac:dyDescent="0.2">
      <c r="A28" s="74" t="s">
        <v>397</v>
      </c>
      <c r="B28" s="75"/>
      <c r="C28" s="72"/>
      <c r="D28" s="72"/>
      <c r="E28" s="72"/>
      <c r="F28" s="72"/>
      <c r="G28" s="72"/>
      <c r="H28" s="72"/>
    </row>
    <row r="29" spans="1:10" x14ac:dyDescent="0.2">
      <c r="A29" s="74" t="s">
        <v>352</v>
      </c>
      <c r="B29" s="75"/>
      <c r="C29" s="72"/>
      <c r="D29" s="72"/>
      <c r="E29" s="72"/>
      <c r="F29" s="72"/>
      <c r="G29" s="72"/>
      <c r="H29" s="72"/>
    </row>
    <row r="30" spans="1:10" x14ac:dyDescent="0.2">
      <c r="A30" s="74" t="s">
        <v>353</v>
      </c>
      <c r="B30" s="75"/>
      <c r="C30" s="72"/>
      <c r="D30" s="72"/>
      <c r="E30" s="72"/>
      <c r="F30" s="72"/>
      <c r="G30" s="72"/>
      <c r="H30" s="72"/>
    </row>
    <row r="31" spans="1:10" x14ac:dyDescent="0.2">
      <c r="A31" s="74"/>
      <c r="B31" s="75"/>
      <c r="C31" s="72"/>
      <c r="D31" s="72"/>
      <c r="E31" s="72"/>
      <c r="F31" s="72"/>
      <c r="G31" s="72"/>
      <c r="H31" s="72"/>
    </row>
    <row r="32" spans="1:10" x14ac:dyDescent="0.2">
      <c r="A32" s="74"/>
      <c r="B32" s="75"/>
      <c r="C32" s="72"/>
      <c r="D32" s="72"/>
      <c r="E32" s="72"/>
      <c r="F32" s="72"/>
      <c r="G32" s="72"/>
      <c r="H32" s="72"/>
    </row>
    <row r="33" spans="1:13" x14ac:dyDescent="0.2">
      <c r="A33" s="74"/>
      <c r="B33" s="75"/>
      <c r="C33" s="72"/>
      <c r="D33" s="72"/>
      <c r="E33" s="72"/>
      <c r="F33" s="72"/>
      <c r="G33" s="72"/>
      <c r="H33" s="72"/>
    </row>
    <row r="34" spans="1:13" x14ac:dyDescent="0.2">
      <c r="A34" s="74"/>
      <c r="B34" s="75"/>
      <c r="C34" s="72"/>
      <c r="D34" s="72"/>
      <c r="E34" s="72"/>
      <c r="F34" s="72"/>
      <c r="G34" s="72"/>
      <c r="H34" s="72"/>
    </row>
    <row r="35" spans="1:13" x14ac:dyDescent="0.2">
      <c r="A35" s="87" t="s">
        <v>427</v>
      </c>
      <c r="B35" s="88"/>
      <c r="C35" s="89"/>
      <c r="D35" s="89"/>
      <c r="E35" s="2" t="s">
        <v>39</v>
      </c>
    </row>
    <row r="36" spans="1:13" x14ac:dyDescent="0.2">
      <c r="A36" s="29"/>
    </row>
    <row r="37" spans="1:13" x14ac:dyDescent="0.2">
      <c r="A37" s="60" t="s">
        <v>402</v>
      </c>
      <c r="B37" s="61"/>
      <c r="C37" s="32"/>
    </row>
    <row r="38" spans="1:13" x14ac:dyDescent="0.2">
      <c r="A38" s="29" t="s">
        <v>39</v>
      </c>
    </row>
    <row r="39" spans="1:13" x14ac:dyDescent="0.2">
      <c r="A39" s="29" t="s">
        <v>272</v>
      </c>
      <c r="I39" s="2" t="s">
        <v>39</v>
      </c>
    </row>
    <row r="40" spans="1:13" x14ac:dyDescent="0.2">
      <c r="A40" s="29" t="s">
        <v>273</v>
      </c>
    </row>
    <row r="41" spans="1:13" x14ac:dyDescent="0.2">
      <c r="A41" s="62"/>
    </row>
    <row r="42" spans="1:13" x14ac:dyDescent="0.2">
      <c r="A42" s="29" t="s">
        <v>39</v>
      </c>
    </row>
    <row r="43" spans="1:13" x14ac:dyDescent="0.2">
      <c r="A43" s="64"/>
      <c r="B43" s="65"/>
      <c r="C43" s="66"/>
      <c r="D43" s="66"/>
      <c r="E43" s="66"/>
      <c r="F43" s="66"/>
      <c r="G43" s="66"/>
      <c r="H43" s="66"/>
      <c r="I43" s="66"/>
      <c r="J43" s="66"/>
      <c r="K43" s="65"/>
      <c r="L43" s="65"/>
      <c r="M43" s="65"/>
    </row>
    <row r="44" spans="1:13" x14ac:dyDescent="0.2">
      <c r="A44" s="29"/>
    </row>
    <row r="45" spans="1:13" x14ac:dyDescent="0.2">
      <c r="A45" s="29" t="s">
        <v>274</v>
      </c>
      <c r="D45" s="2" t="s">
        <v>302</v>
      </c>
    </row>
    <row r="46" spans="1:13" x14ac:dyDescent="0.2">
      <c r="A46" s="29"/>
      <c r="D46" s="82" t="s">
        <v>401</v>
      </c>
    </row>
    <row r="47" spans="1:13" x14ac:dyDescent="0.2">
      <c r="A47" s="29"/>
      <c r="B47" t="s">
        <v>276</v>
      </c>
      <c r="F47" s="67" t="s">
        <v>278</v>
      </c>
      <c r="G47" s="16"/>
      <c r="H47" s="16"/>
      <c r="M47" t="s">
        <v>39</v>
      </c>
    </row>
    <row r="48" spans="1:13" x14ac:dyDescent="0.2">
      <c r="A48" s="29"/>
      <c r="B48" t="s">
        <v>275</v>
      </c>
    </row>
    <row r="49" spans="1:13" x14ac:dyDescent="0.2">
      <c r="A49" s="29"/>
      <c r="B49" s="1" t="s">
        <v>280</v>
      </c>
    </row>
    <row r="50" spans="1:13" x14ac:dyDescent="0.2">
      <c r="A50" s="29"/>
      <c r="B50" s="1" t="s">
        <v>281</v>
      </c>
      <c r="D50" s="2" t="s">
        <v>282</v>
      </c>
    </row>
    <row r="51" spans="1:13" x14ac:dyDescent="0.2">
      <c r="A51" s="29"/>
      <c r="B51" t="s">
        <v>277</v>
      </c>
    </row>
    <row r="52" spans="1:13" x14ac:dyDescent="0.2">
      <c r="A52" s="29"/>
      <c r="B52" t="s">
        <v>354</v>
      </c>
    </row>
    <row r="53" spans="1:13" x14ac:dyDescent="0.2">
      <c r="A53" s="29"/>
      <c r="B53" t="s">
        <v>301</v>
      </c>
    </row>
    <row r="54" spans="1:13" x14ac:dyDescent="0.2">
      <c r="A54" s="29"/>
    </row>
    <row r="55" spans="1:13" x14ac:dyDescent="0.2">
      <c r="A55" s="64"/>
      <c r="B55" s="65"/>
      <c r="C55" s="66"/>
      <c r="D55" s="66"/>
      <c r="E55" s="66"/>
      <c r="F55" s="66"/>
      <c r="G55" s="66"/>
      <c r="H55" s="66"/>
      <c r="I55" s="66"/>
      <c r="J55" s="66"/>
      <c r="K55" s="65"/>
      <c r="L55" s="65"/>
      <c r="M55" s="65"/>
    </row>
    <row r="56" spans="1:13" x14ac:dyDescent="0.2">
      <c r="A56" s="29"/>
    </row>
    <row r="57" spans="1:13" x14ac:dyDescent="0.2">
      <c r="A57" s="29" t="s">
        <v>300</v>
      </c>
    </row>
    <row r="58" spans="1:13" x14ac:dyDescent="0.2">
      <c r="A58" s="29"/>
    </row>
    <row r="59" spans="1:13" x14ac:dyDescent="0.2">
      <c r="A59" s="64"/>
      <c r="B59" s="65"/>
      <c r="C59" s="66"/>
      <c r="D59" s="66"/>
      <c r="E59" s="66"/>
      <c r="F59" s="66"/>
      <c r="G59" s="66"/>
      <c r="H59" s="66"/>
      <c r="I59" s="66"/>
      <c r="J59" s="66"/>
      <c r="K59" s="65"/>
      <c r="L59" s="65"/>
      <c r="M59" s="65"/>
    </row>
    <row r="60" spans="1:13" x14ac:dyDescent="0.2">
      <c r="A60" s="29"/>
    </row>
    <row r="61" spans="1:13" x14ac:dyDescent="0.2">
      <c r="A61" s="29"/>
      <c r="B61" s="29" t="s">
        <v>432</v>
      </c>
      <c r="C61" s="26"/>
      <c r="D61" s="26"/>
      <c r="E61" s="26"/>
      <c r="F61" s="2" t="s">
        <v>39</v>
      </c>
    </row>
    <row r="62" spans="1:13" x14ac:dyDescent="0.2">
      <c r="A62" s="29"/>
    </row>
    <row r="63" spans="1:13" x14ac:dyDescent="0.2">
      <c r="A63" s="29"/>
    </row>
    <row r="64" spans="1:13" x14ac:dyDescent="0.2">
      <c r="A64" s="29"/>
    </row>
    <row r="65" spans="1:12" x14ac:dyDescent="0.2">
      <c r="A65" s="60" t="s">
        <v>237</v>
      </c>
      <c r="B65" s="61"/>
      <c r="C65" s="2" t="s">
        <v>240</v>
      </c>
      <c r="E65" s="2" t="s">
        <v>39</v>
      </c>
      <c r="F65" s="16" t="s">
        <v>279</v>
      </c>
      <c r="G65" s="16"/>
      <c r="H65" s="16"/>
      <c r="I65" s="16"/>
    </row>
    <row r="66" spans="1:12" x14ac:dyDescent="0.2">
      <c r="A66" s="29" t="s">
        <v>425</v>
      </c>
    </row>
    <row r="67" spans="1:12" x14ac:dyDescent="0.2">
      <c r="A67" s="29" t="s">
        <v>426</v>
      </c>
    </row>
    <row r="68" spans="1:12" x14ac:dyDescent="0.2">
      <c r="A68" s="29" t="s">
        <v>39</v>
      </c>
    </row>
    <row r="69" spans="1:12" x14ac:dyDescent="0.2">
      <c r="A69" s="29" t="s">
        <v>39</v>
      </c>
      <c r="L69" t="s">
        <v>39</v>
      </c>
    </row>
    <row r="71" spans="1:12" x14ac:dyDescent="0.2">
      <c r="A71" s="57" t="s">
        <v>120</v>
      </c>
      <c r="B71" s="47"/>
      <c r="C71" s="58"/>
      <c r="D71" s="2" t="s">
        <v>235</v>
      </c>
      <c r="J71" s="2" t="s">
        <v>39</v>
      </c>
    </row>
    <row r="72" spans="1:12" x14ac:dyDescent="0.2">
      <c r="A72" s="39" t="s">
        <v>121</v>
      </c>
      <c r="B72" s="49"/>
      <c r="C72" s="59"/>
    </row>
    <row r="73" spans="1:12" x14ac:dyDescent="0.2">
      <c r="A73" t="s">
        <v>398</v>
      </c>
    </row>
    <row r="74" spans="1:12" x14ac:dyDescent="0.2">
      <c r="A74" s="29"/>
    </row>
    <row r="75" spans="1:12" x14ac:dyDescent="0.2">
      <c r="A75" s="29" t="s">
        <v>241</v>
      </c>
    </row>
    <row r="76" spans="1:12" x14ac:dyDescent="0.2">
      <c r="A76" s="29" t="s">
        <v>242</v>
      </c>
    </row>
    <row r="77" spans="1:12" x14ac:dyDescent="0.2">
      <c r="A77" s="76" t="s">
        <v>399</v>
      </c>
    </row>
    <row r="78" spans="1:12" x14ac:dyDescent="0.2">
      <c r="A78" s="29"/>
      <c r="K78" t="s">
        <v>39</v>
      </c>
    </row>
    <row r="79" spans="1:12" x14ac:dyDescent="0.2">
      <c r="A79" s="29"/>
    </row>
    <row r="80" spans="1:12" x14ac:dyDescent="0.2">
      <c r="A80" s="19" t="s">
        <v>232</v>
      </c>
      <c r="B80" s="19"/>
      <c r="C80" s="16"/>
      <c r="D80" s="16"/>
      <c r="E80" s="16"/>
      <c r="F80" s="16"/>
    </row>
    <row r="81" spans="1:14" x14ac:dyDescent="0.2">
      <c r="A81" s="19" t="s">
        <v>233</v>
      </c>
      <c r="B81" s="19"/>
      <c r="C81" s="16"/>
      <c r="D81" s="16"/>
      <c r="E81" s="16"/>
      <c r="F81" s="16"/>
      <c r="N81" t="s">
        <v>39</v>
      </c>
    </row>
    <row r="82" spans="1:14" x14ac:dyDescent="0.2">
      <c r="A82" s="19"/>
      <c r="B82" s="19"/>
      <c r="C82" s="16"/>
      <c r="D82" s="16"/>
      <c r="E82" s="16"/>
      <c r="F82" s="16"/>
    </row>
    <row r="83" spans="1:14" x14ac:dyDescent="0.2">
      <c r="I83" s="2" t="s">
        <v>39</v>
      </c>
    </row>
    <row r="84" spans="1:14" x14ac:dyDescent="0.2">
      <c r="H84" s="2" t="s">
        <v>39</v>
      </c>
    </row>
    <row r="85" spans="1:14" x14ac:dyDescent="0.2">
      <c r="L85" t="s">
        <v>39</v>
      </c>
    </row>
    <row r="86" spans="1:14" x14ac:dyDescent="0.2">
      <c r="A86" t="s">
        <v>234</v>
      </c>
    </row>
    <row r="87" spans="1:14" x14ac:dyDescent="0.2">
      <c r="A87" t="s">
        <v>39</v>
      </c>
    </row>
    <row r="90" spans="1:14" x14ac:dyDescent="0.2">
      <c r="A90" s="1" t="s">
        <v>236</v>
      </c>
    </row>
    <row r="92" spans="1:14" x14ac:dyDescent="0.2">
      <c r="A92" s="29" t="s">
        <v>245</v>
      </c>
    </row>
    <row r="93" spans="1:14" x14ac:dyDescent="0.2">
      <c r="A93" t="s">
        <v>238</v>
      </c>
    </row>
    <row r="97" spans="1:16" x14ac:dyDescent="0.2">
      <c r="A97" t="s">
        <v>239</v>
      </c>
    </row>
    <row r="99" spans="1:16" x14ac:dyDescent="0.2">
      <c r="A99" s="19" t="s">
        <v>350</v>
      </c>
    </row>
    <row r="100" spans="1:16" x14ac:dyDescent="0.2">
      <c r="J100" s="2" t="s">
        <v>39</v>
      </c>
    </row>
    <row r="102" spans="1:16" x14ac:dyDescent="0.2">
      <c r="A102" s="19" t="s">
        <v>355</v>
      </c>
    </row>
    <row r="103" spans="1:16" ht="21" x14ac:dyDescent="0.3">
      <c r="P103" s="86"/>
    </row>
    <row r="105" spans="1:16" x14ac:dyDescent="0.2">
      <c r="A105" t="s">
        <v>406</v>
      </c>
    </row>
    <row r="107" spans="1:16" x14ac:dyDescent="0.2">
      <c r="A107" t="s">
        <v>364</v>
      </c>
      <c r="B107" t="s">
        <v>365</v>
      </c>
    </row>
    <row r="111" spans="1:16" x14ac:dyDescent="0.2">
      <c r="A111" t="s">
        <v>428</v>
      </c>
    </row>
    <row r="112" spans="1:16" x14ac:dyDescent="0.2">
      <c r="A112" t="s">
        <v>429</v>
      </c>
    </row>
    <row r="113" spans="1:1" x14ac:dyDescent="0.2">
      <c r="A113" t="s">
        <v>430</v>
      </c>
    </row>
  </sheetData>
  <pageMargins left="0.7" right="0.7" top="0.75" bottom="0.75" header="0.3" footer="0.3"/>
  <pageSetup paperSize="9" scale="37" orientation="portrait" r:id="rId1"/>
  <colBreaks count="1" manualBreakCount="1">
    <brk id="14" min="3" max="10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9"/>
  <sheetViews>
    <sheetView view="pageBreakPreview" topLeftCell="E1" zoomScaleNormal="100" zoomScaleSheetLayoutView="100" workbookViewId="0">
      <selection activeCell="F23" sqref="F23"/>
    </sheetView>
  </sheetViews>
  <sheetFormatPr defaultColWidth="10.76171875" defaultRowHeight="15" x14ac:dyDescent="0.2"/>
  <cols>
    <col min="3" max="3" width="23.9453125" style="2" customWidth="1"/>
    <col min="4" max="4" width="26.5" style="2" customWidth="1"/>
    <col min="5" max="5" width="12.64453125" style="2" customWidth="1"/>
    <col min="6" max="6" width="16.0078125" style="2" customWidth="1"/>
    <col min="7" max="7" width="9.953125" style="2" customWidth="1"/>
    <col min="8" max="9" width="13.5859375" style="2" customWidth="1"/>
    <col min="10" max="10" width="11.43359375" style="2"/>
    <col min="11" max="11" width="19.50390625" style="2" customWidth="1"/>
    <col min="12" max="12" width="13.98828125" style="2" customWidth="1"/>
    <col min="13" max="13" width="14.66015625" style="2" customWidth="1"/>
    <col min="16" max="16" width="25.69140625" customWidth="1"/>
    <col min="17" max="17" width="10.4921875" customWidth="1"/>
  </cols>
  <sheetData>
    <row r="1" spans="1:20" x14ac:dyDescent="0.2">
      <c r="A1" s="4" t="s">
        <v>119</v>
      </c>
      <c r="C1" s="26" t="s">
        <v>504</v>
      </c>
      <c r="D1" s="8"/>
      <c r="E1" s="26" t="s">
        <v>507</v>
      </c>
      <c r="F1" s="103" t="s">
        <v>507</v>
      </c>
      <c r="G1" s="103" t="s">
        <v>584</v>
      </c>
      <c r="H1" s="103" t="s">
        <v>516</v>
      </c>
      <c r="I1" s="103" t="s">
        <v>569</v>
      </c>
      <c r="J1" s="103" t="s">
        <v>519</v>
      </c>
      <c r="K1" s="26" t="s">
        <v>521</v>
      </c>
      <c r="L1" s="104" t="s">
        <v>528</v>
      </c>
      <c r="M1" s="103" t="s">
        <v>524</v>
      </c>
      <c r="N1" s="104" t="s">
        <v>525</v>
      </c>
      <c r="O1" s="114" t="s">
        <v>583</v>
      </c>
      <c r="P1" s="103" t="s">
        <v>534</v>
      </c>
      <c r="Q1" s="103" t="s">
        <v>536</v>
      </c>
    </row>
    <row r="2" spans="1:20" x14ac:dyDescent="0.2">
      <c r="B2" s="29" t="s">
        <v>501</v>
      </c>
      <c r="C2" s="101" t="s">
        <v>505</v>
      </c>
      <c r="D2" s="102" t="s">
        <v>506</v>
      </c>
      <c r="E2" s="101" t="s">
        <v>509</v>
      </c>
      <c r="F2" s="103" t="s">
        <v>508</v>
      </c>
      <c r="G2" s="103"/>
      <c r="H2" s="103" t="s">
        <v>517</v>
      </c>
      <c r="I2" s="103" t="s">
        <v>570</v>
      </c>
      <c r="J2" s="105" t="s">
        <v>520</v>
      </c>
      <c r="K2" s="26" t="s">
        <v>522</v>
      </c>
      <c r="L2" s="102"/>
      <c r="M2" s="103" t="s">
        <v>527</v>
      </c>
      <c r="N2" s="106" t="s">
        <v>529</v>
      </c>
      <c r="O2" s="90"/>
      <c r="P2" s="29" t="s">
        <v>535</v>
      </c>
      <c r="Q2" s="29"/>
    </row>
    <row r="3" spans="1:20" x14ac:dyDescent="0.2">
      <c r="B3" s="29" t="s">
        <v>538</v>
      </c>
      <c r="D3" s="8"/>
      <c r="E3" s="26"/>
      <c r="F3" s="116" t="s">
        <v>587</v>
      </c>
      <c r="G3" s="26"/>
      <c r="H3" s="103" t="s">
        <v>518</v>
      </c>
      <c r="I3" s="103"/>
      <c r="J3" s="26" t="s">
        <v>582</v>
      </c>
      <c r="K3" s="26"/>
      <c r="L3" s="97"/>
      <c r="M3" s="26"/>
      <c r="N3" s="106" t="s">
        <v>530</v>
      </c>
      <c r="O3" s="90"/>
      <c r="P3" s="29"/>
      <c r="Q3" s="29"/>
    </row>
    <row r="4" spans="1:20" x14ac:dyDescent="0.2">
      <c r="A4" s="1" t="s">
        <v>500</v>
      </c>
      <c r="B4" s="2">
        <v>31785.599999999999</v>
      </c>
      <c r="C4" s="2">
        <f>B4*80%</f>
        <v>25428.48</v>
      </c>
      <c r="D4" s="8">
        <f>C4/2</f>
        <v>12714.24</v>
      </c>
      <c r="E4" s="2" t="s">
        <v>510</v>
      </c>
      <c r="F4" s="2">
        <v>34527.96</v>
      </c>
      <c r="G4" s="113">
        <v>1.1000000000000001</v>
      </c>
      <c r="H4" s="2">
        <v>29836.15</v>
      </c>
      <c r="I4" s="2" t="s">
        <v>572</v>
      </c>
      <c r="J4" s="96">
        <v>11934.46</v>
      </c>
      <c r="L4" s="99">
        <v>11934.46</v>
      </c>
      <c r="M4" s="2">
        <v>11704.9</v>
      </c>
      <c r="N4" s="100">
        <v>229.56</v>
      </c>
      <c r="O4" s="14">
        <v>229.56</v>
      </c>
      <c r="P4" s="2"/>
      <c r="Q4" s="98">
        <v>66</v>
      </c>
    </row>
    <row r="5" spans="1:20" s="2" customFormat="1" x14ac:dyDescent="0.2">
      <c r="A5" s="29"/>
      <c r="D5" s="8"/>
      <c r="E5" s="2" t="s">
        <v>511</v>
      </c>
      <c r="F5" s="2">
        <v>36553.440000000002</v>
      </c>
      <c r="G5" s="113">
        <v>1.2</v>
      </c>
      <c r="H5" s="2">
        <v>39378.019999999997</v>
      </c>
      <c r="I5" s="2" t="s">
        <v>577</v>
      </c>
      <c r="J5" s="2">
        <v>15751.21</v>
      </c>
      <c r="K5" s="2">
        <v>3816.75</v>
      </c>
      <c r="L5" s="8"/>
      <c r="N5" s="18"/>
      <c r="O5"/>
      <c r="P5"/>
      <c r="Q5" s="98"/>
      <c r="R5"/>
      <c r="S5"/>
      <c r="T5"/>
    </row>
    <row r="6" spans="1:20" s="2" customFormat="1" x14ac:dyDescent="0.2">
      <c r="A6" s="29"/>
      <c r="D6" s="8"/>
      <c r="G6" s="113"/>
      <c r="I6" s="2" t="s">
        <v>39</v>
      </c>
      <c r="L6" s="8"/>
      <c r="N6" s="18"/>
      <c r="O6"/>
      <c r="P6"/>
      <c r="Q6" s="98"/>
      <c r="R6"/>
      <c r="S6"/>
      <c r="T6"/>
    </row>
    <row r="7" spans="1:20" s="2" customFormat="1" x14ac:dyDescent="0.2">
      <c r="A7" s="29"/>
      <c r="D7" s="8"/>
      <c r="G7" s="113"/>
      <c r="L7" s="8"/>
      <c r="N7" s="18"/>
      <c r="O7"/>
      <c r="P7"/>
      <c r="Q7" s="98"/>
      <c r="R7"/>
      <c r="S7"/>
      <c r="T7"/>
    </row>
    <row r="8" spans="1:20" s="2" customFormat="1" x14ac:dyDescent="0.2">
      <c r="A8" s="29"/>
      <c r="D8" s="8"/>
      <c r="G8" s="113"/>
      <c r="L8" s="8"/>
      <c r="N8" s="18"/>
      <c r="O8"/>
      <c r="P8"/>
      <c r="Q8" s="98"/>
      <c r="R8"/>
      <c r="S8"/>
      <c r="T8"/>
    </row>
    <row r="9" spans="1:20" s="2" customFormat="1" x14ac:dyDescent="0.2">
      <c r="A9" s="29"/>
      <c r="D9" s="8"/>
      <c r="G9" s="113"/>
      <c r="L9" s="8"/>
      <c r="N9" s="18"/>
      <c r="O9"/>
      <c r="P9"/>
      <c r="Q9" s="98"/>
      <c r="R9"/>
      <c r="S9"/>
      <c r="T9"/>
    </row>
    <row r="10" spans="1:20" s="2" customFormat="1" x14ac:dyDescent="0.2">
      <c r="A10" s="29" t="s">
        <v>502</v>
      </c>
      <c r="B10" s="2">
        <v>26740.13</v>
      </c>
      <c r="C10" s="2">
        <f t="shared" ref="C10:C13" si="0">B10*80%</f>
        <v>21392.104000000003</v>
      </c>
      <c r="D10" s="8">
        <f t="shared" ref="D10:D13" si="1">C10/2</f>
        <v>10696.052000000001</v>
      </c>
      <c r="E10" s="2" t="s">
        <v>512</v>
      </c>
      <c r="F10" s="2">
        <v>26755.99</v>
      </c>
      <c r="G10" s="113">
        <v>2.1</v>
      </c>
      <c r="H10" s="2">
        <v>14961.44</v>
      </c>
      <c r="I10" s="2" t="s">
        <v>571</v>
      </c>
      <c r="J10" s="96">
        <v>5984.58</v>
      </c>
      <c r="K10" s="2">
        <v>5287.55</v>
      </c>
      <c r="L10" s="99">
        <v>5984.58</v>
      </c>
      <c r="M10" s="2">
        <v>5000</v>
      </c>
      <c r="N10" s="100">
        <v>984.58</v>
      </c>
      <c r="O10" s="14">
        <v>984.58</v>
      </c>
      <c r="Q10" s="98">
        <v>66</v>
      </c>
      <c r="R10"/>
      <c r="S10"/>
      <c r="T10"/>
    </row>
    <row r="11" spans="1:20" s="2" customFormat="1" x14ac:dyDescent="0.2">
      <c r="A11" s="29"/>
      <c r="B11" s="26"/>
      <c r="D11" s="8"/>
      <c r="E11" s="2" t="s">
        <v>513</v>
      </c>
      <c r="F11" s="2">
        <v>26740.12</v>
      </c>
      <c r="G11" s="113">
        <v>2.2000000000000002</v>
      </c>
      <c r="H11" s="2">
        <v>28180.32</v>
      </c>
      <c r="I11" s="2" t="s">
        <v>573</v>
      </c>
      <c r="J11" s="2">
        <v>11272.13</v>
      </c>
      <c r="L11" s="8"/>
      <c r="N11" s="18"/>
      <c r="O11"/>
      <c r="P11"/>
      <c r="Q11"/>
      <c r="R11"/>
      <c r="S11"/>
      <c r="T11"/>
    </row>
    <row r="12" spans="1:20" s="2" customFormat="1" x14ac:dyDescent="0.2">
      <c r="A12" s="29"/>
      <c r="D12" s="8"/>
      <c r="G12" s="113"/>
      <c r="L12" s="8"/>
      <c r="N12" s="18"/>
      <c r="O12"/>
      <c r="P12"/>
      <c r="Q12"/>
      <c r="R12"/>
      <c r="S12"/>
      <c r="T12"/>
    </row>
    <row r="13" spans="1:20" s="2" customFormat="1" x14ac:dyDescent="0.2">
      <c r="A13" s="29" t="s">
        <v>503</v>
      </c>
      <c r="B13" s="26">
        <v>28502.27</v>
      </c>
      <c r="C13" s="2">
        <f t="shared" si="0"/>
        <v>22801.816000000003</v>
      </c>
      <c r="D13" s="8">
        <f t="shared" si="1"/>
        <v>11400.908000000001</v>
      </c>
      <c r="E13" s="2" t="s">
        <v>514</v>
      </c>
      <c r="F13" s="2">
        <v>29562.22</v>
      </c>
      <c r="G13" s="113">
        <v>3.1</v>
      </c>
      <c r="H13" s="2">
        <v>17042.37</v>
      </c>
      <c r="I13" s="2" t="s">
        <v>574</v>
      </c>
      <c r="J13" s="2">
        <v>6816.95</v>
      </c>
      <c r="K13" s="2">
        <v>-132.09</v>
      </c>
      <c r="L13" s="8"/>
      <c r="N13" s="18"/>
      <c r="O13"/>
      <c r="P13"/>
      <c r="Q13"/>
      <c r="R13"/>
      <c r="S13"/>
      <c r="T13"/>
    </row>
    <row r="14" spans="1:20" s="2" customFormat="1" x14ac:dyDescent="0.2">
      <c r="A14" s="29"/>
      <c r="D14" s="8"/>
      <c r="E14" s="2" t="s">
        <v>515</v>
      </c>
      <c r="F14" s="2">
        <v>15493.81</v>
      </c>
      <c r="G14" s="113">
        <v>3.2</v>
      </c>
      <c r="H14" s="2">
        <v>16712.16</v>
      </c>
      <c r="I14" s="2" t="s">
        <v>575</v>
      </c>
      <c r="J14" s="2">
        <v>6684.86</v>
      </c>
      <c r="L14" s="8"/>
      <c r="N14" s="18"/>
      <c r="O14"/>
      <c r="P14"/>
      <c r="Q14"/>
      <c r="R14"/>
      <c r="S14"/>
      <c r="T14"/>
    </row>
    <row r="15" spans="1:20" s="2" customFormat="1" ht="15.75" thickBot="1" x14ac:dyDescent="0.25">
      <c r="A15" s="29"/>
      <c r="D15" s="8"/>
      <c r="G15" s="113"/>
      <c r="L15" s="8"/>
      <c r="N15" s="18"/>
      <c r="O15"/>
      <c r="P15"/>
      <c r="Q15"/>
      <c r="R15"/>
      <c r="S15"/>
      <c r="T15"/>
    </row>
    <row r="16" spans="1:20" s="2" customFormat="1" ht="15.75" thickBot="1" x14ac:dyDescent="0.25">
      <c r="A16" s="29"/>
      <c r="B16" s="26">
        <f>B4+B10+B13</f>
        <v>87028</v>
      </c>
      <c r="C16" s="95">
        <f>+C4+C10+C13</f>
        <v>69622.400000000009</v>
      </c>
      <c r="D16" s="8">
        <f>D4+D10+D13</f>
        <v>34811.200000000004</v>
      </c>
      <c r="G16" s="113"/>
      <c r="L16" s="8"/>
      <c r="M16" s="54">
        <f>M4+M10</f>
        <v>16704.900000000001</v>
      </c>
      <c r="N16" s="18"/>
      <c r="O16"/>
      <c r="P16"/>
      <c r="Q16"/>
      <c r="R16"/>
      <c r="S16"/>
      <c r="T16"/>
    </row>
    <row r="17" spans="1:20" s="2" customFormat="1" ht="25.5" x14ac:dyDescent="0.35">
      <c r="A17" s="29"/>
      <c r="C17" s="2" t="s">
        <v>542</v>
      </c>
      <c r="D17" s="108" t="s">
        <v>39</v>
      </c>
      <c r="G17" s="113"/>
      <c r="L17" s="8"/>
      <c r="M17" s="81">
        <v>-19704.900000000001</v>
      </c>
      <c r="N17" s="18" t="s">
        <v>532</v>
      </c>
      <c r="O17"/>
      <c r="P17"/>
      <c r="Q17"/>
      <c r="R17"/>
      <c r="S17"/>
      <c r="T17"/>
    </row>
    <row r="18" spans="1:20" x14ac:dyDescent="0.2">
      <c r="A18" s="29"/>
      <c r="B18" s="2"/>
      <c r="C18" s="109">
        <v>736322</v>
      </c>
      <c r="D18" s="8"/>
      <c r="G18" s="113"/>
      <c r="L18" s="8"/>
      <c r="M18" s="2">
        <v>3000</v>
      </c>
      <c r="N18" s="18" t="s">
        <v>533</v>
      </c>
    </row>
    <row r="19" spans="1:20" x14ac:dyDescent="0.2">
      <c r="A19" s="29" t="s">
        <v>539</v>
      </c>
      <c r="B19" s="2"/>
      <c r="D19" s="8"/>
      <c r="E19" s="2" t="s">
        <v>539</v>
      </c>
      <c r="F19" s="2">
        <v>33006.370000000003</v>
      </c>
      <c r="G19" s="113">
        <v>3.3</v>
      </c>
      <c r="H19" s="2">
        <v>34379.43</v>
      </c>
      <c r="I19" s="2" t="s">
        <v>576</v>
      </c>
      <c r="J19" s="2">
        <v>13751.77</v>
      </c>
      <c r="L19" s="8"/>
      <c r="N19" s="18"/>
    </row>
    <row r="20" spans="1:20" x14ac:dyDescent="0.2">
      <c r="A20" s="29"/>
      <c r="B20" s="2"/>
      <c r="D20" s="8"/>
      <c r="E20" s="2" t="s">
        <v>540</v>
      </c>
      <c r="F20" s="2">
        <v>32525.360000000001</v>
      </c>
      <c r="G20" s="113">
        <v>3.4</v>
      </c>
      <c r="H20" s="2">
        <v>34131.699999999997</v>
      </c>
      <c r="I20" s="2" t="s">
        <v>581</v>
      </c>
      <c r="J20" s="2">
        <v>13652.68</v>
      </c>
      <c r="L20" s="8"/>
      <c r="N20" s="18"/>
    </row>
    <row r="21" spans="1:20" x14ac:dyDescent="0.2">
      <c r="A21" s="29"/>
      <c r="B21" s="2"/>
      <c r="D21" s="8"/>
      <c r="E21" s="2" t="s">
        <v>541</v>
      </c>
      <c r="F21" s="2">
        <v>11807.41</v>
      </c>
      <c r="G21" s="113"/>
      <c r="H21" s="16" t="s">
        <v>39</v>
      </c>
      <c r="J21" s="2" t="s">
        <v>39</v>
      </c>
      <c r="L21" s="8"/>
      <c r="N21" s="18"/>
    </row>
    <row r="22" spans="1:20" x14ac:dyDescent="0.2">
      <c r="A22" s="29"/>
      <c r="B22" s="2"/>
      <c r="D22" s="8"/>
      <c r="E22" s="2" t="s">
        <v>580</v>
      </c>
      <c r="F22" s="2">
        <v>12509.64</v>
      </c>
      <c r="G22" s="113"/>
      <c r="H22" s="16"/>
      <c r="L22" s="8"/>
      <c r="N22" s="18"/>
    </row>
    <row r="23" spans="1:20" ht="21" x14ac:dyDescent="0.3">
      <c r="A23" s="29"/>
      <c r="B23" s="2"/>
      <c r="D23" s="8"/>
      <c r="F23" s="117"/>
      <c r="L23" s="8"/>
      <c r="N23" s="18"/>
    </row>
    <row r="24" spans="1:20" x14ac:dyDescent="0.2">
      <c r="A24" s="29"/>
      <c r="B24" s="2"/>
      <c r="D24" s="8"/>
      <c r="L24" s="8"/>
      <c r="N24" s="18"/>
    </row>
    <row r="25" spans="1:20" x14ac:dyDescent="0.2">
      <c r="A25" s="29"/>
      <c r="B25" s="26"/>
      <c r="C25" s="26"/>
      <c r="D25" s="97"/>
      <c r="E25" s="26"/>
      <c r="F25" s="26"/>
      <c r="G25" s="26"/>
      <c r="L25" s="8"/>
      <c r="N25" s="18"/>
    </row>
    <row r="26" spans="1:20" x14ac:dyDescent="0.2">
      <c r="A26" s="29" t="s">
        <v>543</v>
      </c>
      <c r="B26" s="2"/>
    </row>
    <row r="27" spans="1:20" x14ac:dyDescent="0.2">
      <c r="A27" s="110" t="s">
        <v>523</v>
      </c>
      <c r="B27" s="26"/>
    </row>
    <row r="28" spans="1:20" x14ac:dyDescent="0.2">
      <c r="A28" s="90"/>
      <c r="B28" s="2"/>
    </row>
    <row r="29" spans="1:20" x14ac:dyDescent="0.2">
      <c r="A29" s="33" t="s">
        <v>537</v>
      </c>
    </row>
    <row r="30" spans="1:20" x14ac:dyDescent="0.2">
      <c r="A30" s="33"/>
    </row>
    <row r="31" spans="1:20" x14ac:dyDescent="0.2">
      <c r="A31" s="90" t="s">
        <v>531</v>
      </c>
      <c r="B31" s="2"/>
    </row>
    <row r="32" spans="1:20" x14ac:dyDescent="0.2">
      <c r="A32" s="29"/>
      <c r="B32" s="1"/>
    </row>
    <row r="33" spans="1:16" x14ac:dyDescent="0.2">
      <c r="A33" s="76" t="s">
        <v>544</v>
      </c>
    </row>
    <row r="34" spans="1:16" ht="25.5" x14ac:dyDescent="0.35">
      <c r="A34" s="29"/>
      <c r="L34" s="107"/>
    </row>
    <row r="35" spans="1:16" x14ac:dyDescent="0.2">
      <c r="A35" s="29"/>
      <c r="C35" s="34">
        <v>41</v>
      </c>
      <c r="F35" s="109">
        <v>66</v>
      </c>
      <c r="G35" s="109"/>
      <c r="K35" s="34">
        <v>76</v>
      </c>
      <c r="N35">
        <v>73</v>
      </c>
    </row>
    <row r="36" spans="1:16" x14ac:dyDescent="0.2">
      <c r="B36" s="112" t="s">
        <v>547</v>
      </c>
      <c r="C36" s="111" t="s">
        <v>545</v>
      </c>
      <c r="D36" s="54" t="s">
        <v>546</v>
      </c>
      <c r="F36" s="54" t="s">
        <v>561</v>
      </c>
      <c r="G36" s="54"/>
      <c r="H36" s="58"/>
      <c r="I36" s="54"/>
      <c r="J36" s="54"/>
      <c r="K36" s="54" t="s">
        <v>39</v>
      </c>
      <c r="M36" s="54"/>
      <c r="N36" s="22"/>
      <c r="O36" s="47"/>
      <c r="P36" s="47" t="s">
        <v>548</v>
      </c>
    </row>
    <row r="37" spans="1:16" x14ac:dyDescent="0.2">
      <c r="C37" s="8"/>
      <c r="F37" s="2" t="s">
        <v>564</v>
      </c>
      <c r="H37" s="8"/>
      <c r="N37" s="18"/>
    </row>
    <row r="38" spans="1:16" x14ac:dyDescent="0.2">
      <c r="B38" s="112" t="s">
        <v>526</v>
      </c>
      <c r="C38" s="8" t="s">
        <v>554</v>
      </c>
      <c r="D38" s="2" t="s">
        <v>551</v>
      </c>
      <c r="H38" s="8"/>
      <c r="N38" s="18"/>
    </row>
    <row r="39" spans="1:16" x14ac:dyDescent="0.2">
      <c r="C39" s="8"/>
      <c r="H39" s="8"/>
      <c r="N39" s="18"/>
    </row>
    <row r="40" spans="1:16" x14ac:dyDescent="0.2">
      <c r="A40" s="1"/>
      <c r="B40" s="112" t="s">
        <v>530</v>
      </c>
      <c r="C40" s="8" t="s">
        <v>560</v>
      </c>
      <c r="D40" s="2" t="s">
        <v>556</v>
      </c>
      <c r="H40" s="8"/>
      <c r="N40" s="18"/>
    </row>
    <row r="41" spans="1:16" x14ac:dyDescent="0.2">
      <c r="C41" s="8"/>
      <c r="H41" s="8"/>
      <c r="N41" s="18"/>
    </row>
    <row r="42" spans="1:16" x14ac:dyDescent="0.2">
      <c r="A42" s="29"/>
      <c r="C42" s="8"/>
      <c r="D42" s="2" t="s">
        <v>562</v>
      </c>
      <c r="H42" s="8"/>
      <c r="N42" s="18"/>
    </row>
    <row r="43" spans="1:16" x14ac:dyDescent="0.2">
      <c r="C43" s="8"/>
      <c r="D43" s="2" t="s">
        <v>563</v>
      </c>
      <c r="H43" s="8"/>
      <c r="N43" s="18"/>
    </row>
    <row r="44" spans="1:16" x14ac:dyDescent="0.2">
      <c r="N44" s="18"/>
    </row>
    <row r="47" spans="1:16" x14ac:dyDescent="0.2">
      <c r="H47" s="34">
        <v>55</v>
      </c>
      <c r="I47" s="34"/>
    </row>
    <row r="48" spans="1:16" x14ac:dyDescent="0.2">
      <c r="F48" s="54" t="s">
        <v>549</v>
      </c>
      <c r="G48" s="54"/>
      <c r="H48" s="58"/>
      <c r="I48" s="54"/>
      <c r="J48" s="54"/>
      <c r="K48" s="54"/>
    </row>
    <row r="49" spans="1:12" x14ac:dyDescent="0.2">
      <c r="F49" s="2" t="s">
        <v>550</v>
      </c>
      <c r="H49" s="8"/>
      <c r="J49" s="2" t="s">
        <v>552</v>
      </c>
      <c r="L49" s="2" t="s">
        <v>553</v>
      </c>
    </row>
    <row r="50" spans="1:12" x14ac:dyDescent="0.2">
      <c r="F50" s="2" t="s">
        <v>555</v>
      </c>
      <c r="H50" s="8">
        <v>5984.58</v>
      </c>
      <c r="J50" s="2" t="s">
        <v>558</v>
      </c>
      <c r="L50" s="2" t="s">
        <v>559</v>
      </c>
    </row>
    <row r="51" spans="1:12" x14ac:dyDescent="0.2">
      <c r="H51" s="8"/>
    </row>
    <row r="52" spans="1:12" x14ac:dyDescent="0.2">
      <c r="H52" s="8"/>
    </row>
    <row r="53" spans="1:12" x14ac:dyDescent="0.2">
      <c r="H53" s="8"/>
    </row>
    <row r="54" spans="1:12" x14ac:dyDescent="0.2">
      <c r="H54" s="8"/>
    </row>
    <row r="55" spans="1:12" x14ac:dyDescent="0.2">
      <c r="H55" s="8"/>
    </row>
    <row r="56" spans="1:12" x14ac:dyDescent="0.2">
      <c r="H56" s="8"/>
    </row>
    <row r="57" spans="1:12" x14ac:dyDescent="0.2">
      <c r="H57" s="8"/>
    </row>
    <row r="58" spans="1:12" x14ac:dyDescent="0.2">
      <c r="A58" t="s">
        <v>557</v>
      </c>
    </row>
    <row r="59" spans="1:12" x14ac:dyDescent="0.2">
      <c r="A59" s="84" t="s">
        <v>565</v>
      </c>
      <c r="B59" t="s">
        <v>566</v>
      </c>
    </row>
  </sheetData>
  <pageMargins left="0.7" right="0.7" top="0.75" bottom="0.75" header="0.3" footer="0.3"/>
  <pageSetup paperSize="9" scale="37" orientation="landscape" r:id="rId1"/>
  <colBreaks count="1" manualBreakCount="1">
    <brk id="18" min="3" max="10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6"/>
  <sheetViews>
    <sheetView zoomScaleNormal="100" workbookViewId="0">
      <selection activeCell="A27" sqref="A27"/>
    </sheetView>
  </sheetViews>
  <sheetFormatPr defaultColWidth="10.76171875" defaultRowHeight="15" x14ac:dyDescent="0.2"/>
  <cols>
    <col min="3" max="3" width="14.390625" style="2" bestFit="1" customWidth="1"/>
    <col min="5" max="5" width="11.43359375" style="2"/>
  </cols>
  <sheetData>
    <row r="1" spans="1:22" x14ac:dyDescent="0.2">
      <c r="A1" s="29" t="s">
        <v>122</v>
      </c>
    </row>
    <row r="3" spans="1:22" x14ac:dyDescent="0.2">
      <c r="A3" s="29"/>
    </row>
    <row r="4" spans="1:22" x14ac:dyDescent="0.2">
      <c r="A4" t="s">
        <v>123</v>
      </c>
    </row>
    <row r="5" spans="1:22" x14ac:dyDescent="0.2">
      <c r="V5" t="s">
        <v>39</v>
      </c>
    </row>
    <row r="6" spans="1:22" x14ac:dyDescent="0.2">
      <c r="A6" s="29" t="s">
        <v>124</v>
      </c>
    </row>
    <row r="8" spans="1:22" x14ac:dyDescent="0.2">
      <c r="A8" t="s">
        <v>125</v>
      </c>
    </row>
    <row r="9" spans="1:22" x14ac:dyDescent="0.2">
      <c r="A9" s="29"/>
    </row>
    <row r="11" spans="1:22" x14ac:dyDescent="0.2">
      <c r="A11" s="46" t="s">
        <v>371</v>
      </c>
      <c r="B11" s="77"/>
      <c r="C11" s="78"/>
      <c r="D11" s="22"/>
    </row>
    <row r="12" spans="1:22" x14ac:dyDescent="0.2">
      <c r="A12" s="79" t="s">
        <v>367</v>
      </c>
      <c r="D12" s="18"/>
    </row>
    <row r="13" spans="1:22" x14ac:dyDescent="0.2">
      <c r="A13" s="80" t="s">
        <v>368</v>
      </c>
      <c r="D13" s="18"/>
      <c r="E13" s="2" t="s">
        <v>450</v>
      </c>
    </row>
    <row r="14" spans="1:22" x14ac:dyDescent="0.2">
      <c r="A14" s="79" t="s">
        <v>369</v>
      </c>
      <c r="D14" s="18"/>
    </row>
    <row r="15" spans="1:22" x14ac:dyDescent="0.2">
      <c r="A15" s="80" t="s">
        <v>370</v>
      </c>
      <c r="D15" s="18"/>
    </row>
    <row r="16" spans="1:22" x14ac:dyDescent="0.2">
      <c r="A16" s="39"/>
      <c r="B16" s="49"/>
      <c r="C16" s="81"/>
      <c r="D16" s="25"/>
    </row>
    <row r="21" spans="1:9" x14ac:dyDescent="0.2">
      <c r="I21" t="s">
        <v>39</v>
      </c>
    </row>
    <row r="24" spans="1:9" x14ac:dyDescent="0.2">
      <c r="A24" t="s">
        <v>451</v>
      </c>
    </row>
    <row r="25" spans="1:9" x14ac:dyDescent="0.2">
      <c r="A25" t="s">
        <v>39</v>
      </c>
    </row>
    <row r="26" spans="1:9" x14ac:dyDescent="0.2">
      <c r="A26" t="s">
        <v>597</v>
      </c>
    </row>
  </sheetData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743A-CD35-48FE-A070-9DFECD957673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6687-5C72-46CF-AF32-1A3173B584AA}">
  <dimension ref="A1:E14"/>
  <sheetViews>
    <sheetView topLeftCell="H2" zoomScaleNormal="100" workbookViewId="0">
      <selection activeCell="I5" sqref="I5:T14"/>
    </sheetView>
  </sheetViews>
  <sheetFormatPr defaultColWidth="10.76171875" defaultRowHeight="15" x14ac:dyDescent="0.2"/>
  <cols>
    <col min="3" max="3" width="14.390625" style="2" bestFit="1" customWidth="1"/>
    <col min="5" max="5" width="11.56640625" style="2"/>
  </cols>
  <sheetData>
    <row r="1" spans="1:1" x14ac:dyDescent="0.2">
      <c r="A1" s="29" t="s">
        <v>604</v>
      </c>
    </row>
    <row r="3" spans="1:1" x14ac:dyDescent="0.2">
      <c r="A3" s="29"/>
    </row>
    <row r="4" spans="1:1" x14ac:dyDescent="0.2">
      <c r="A4" t="s">
        <v>605</v>
      </c>
    </row>
    <row r="6" spans="1:1" x14ac:dyDescent="0.2">
      <c r="A6" s="29"/>
    </row>
    <row r="7" spans="1:1" x14ac:dyDescent="0.2">
      <c r="A7" t="s">
        <v>606</v>
      </c>
    </row>
    <row r="9" spans="1:1" x14ac:dyDescent="0.2">
      <c r="A9" s="29"/>
    </row>
    <row r="11" spans="1:1" x14ac:dyDescent="0.2">
      <c r="A11" t="s">
        <v>607</v>
      </c>
    </row>
    <row r="14" spans="1:1" x14ac:dyDescent="0.2">
      <c r="A14" s="29" t="s">
        <v>610</v>
      </c>
    </row>
  </sheetData>
  <pageMargins left="0.7" right="0.7" top="0.75" bottom="0.75" header="0.3" footer="0.3"/>
  <pageSetup paperSize="9"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3"/>
  <sheetViews>
    <sheetView view="pageBreakPreview" zoomScale="60" zoomScaleNormal="100" workbookViewId="0">
      <selection activeCell="I19" sqref="I19"/>
    </sheetView>
  </sheetViews>
  <sheetFormatPr defaultColWidth="10.76171875" defaultRowHeight="15" x14ac:dyDescent="0.2"/>
  <cols>
    <col min="2" max="2" width="20.58203125" customWidth="1"/>
    <col min="8" max="8" width="16.94921875" customWidth="1"/>
  </cols>
  <sheetData>
    <row r="2" spans="1:8" x14ac:dyDescent="0.2">
      <c r="A2" s="4" t="s">
        <v>154</v>
      </c>
      <c r="B2" s="4"/>
      <c r="C2" s="4"/>
      <c r="D2" s="4"/>
      <c r="E2" s="4"/>
    </row>
    <row r="4" spans="1:8" x14ac:dyDescent="0.2">
      <c r="A4" t="s">
        <v>162</v>
      </c>
      <c r="D4" t="s">
        <v>2</v>
      </c>
      <c r="E4" t="s">
        <v>163</v>
      </c>
      <c r="F4" t="s">
        <v>6</v>
      </c>
    </row>
    <row r="6" spans="1:8" x14ac:dyDescent="0.2">
      <c r="A6" t="s">
        <v>0</v>
      </c>
      <c r="B6" t="s">
        <v>1</v>
      </c>
      <c r="C6">
        <v>614700</v>
      </c>
      <c r="D6" t="s">
        <v>2</v>
      </c>
      <c r="E6" t="s">
        <v>3</v>
      </c>
      <c r="F6" t="s">
        <v>39</v>
      </c>
      <c r="G6" t="s">
        <v>5</v>
      </c>
      <c r="H6" t="s">
        <v>10</v>
      </c>
    </row>
    <row r="7" spans="1:8" x14ac:dyDescent="0.2">
      <c r="C7">
        <v>453000</v>
      </c>
      <c r="D7" t="s">
        <v>6</v>
      </c>
    </row>
    <row r="8" spans="1:8" x14ac:dyDescent="0.2">
      <c r="C8">
        <v>454000</v>
      </c>
      <c r="D8" t="s">
        <v>6</v>
      </c>
    </row>
    <row r="10" spans="1:8" x14ac:dyDescent="0.2">
      <c r="B10" t="s">
        <v>138</v>
      </c>
      <c r="C10" s="4">
        <v>416100</v>
      </c>
    </row>
    <row r="15" spans="1:8" x14ac:dyDescent="0.2">
      <c r="A15" s="4" t="s">
        <v>7</v>
      </c>
      <c r="B15" t="s">
        <v>8</v>
      </c>
      <c r="C15">
        <v>614701</v>
      </c>
      <c r="D15" t="s">
        <v>2</v>
      </c>
      <c r="E15" t="s">
        <v>3</v>
      </c>
      <c r="F15" t="s">
        <v>4</v>
      </c>
      <c r="G15" t="s">
        <v>5</v>
      </c>
      <c r="H15" t="s">
        <v>10</v>
      </c>
    </row>
    <row r="16" spans="1:8" x14ac:dyDescent="0.2">
      <c r="B16" t="s">
        <v>9</v>
      </c>
      <c r="C16">
        <v>459730</v>
      </c>
      <c r="D16" t="s">
        <v>6</v>
      </c>
    </row>
    <row r="18" spans="1:8" x14ac:dyDescent="0.2">
      <c r="B18" s="21" t="s">
        <v>179</v>
      </c>
      <c r="C18" s="22"/>
    </row>
    <row r="19" spans="1:8" x14ac:dyDescent="0.2">
      <c r="B19" s="37" t="s">
        <v>180</v>
      </c>
      <c r="C19" s="18"/>
    </row>
    <row r="20" spans="1:8" x14ac:dyDescent="0.2">
      <c r="B20" s="37" t="s">
        <v>181</v>
      </c>
      <c r="C20" s="18"/>
    </row>
    <row r="21" spans="1:8" x14ac:dyDescent="0.2">
      <c r="B21" s="37">
        <v>459730</v>
      </c>
      <c r="C21" s="18">
        <v>6.91</v>
      </c>
    </row>
    <row r="22" spans="1:8" x14ac:dyDescent="0.2">
      <c r="B22" s="37">
        <v>459730</v>
      </c>
      <c r="C22" s="38">
        <v>1.0900000000000001</v>
      </c>
    </row>
    <row r="23" spans="1:8" x14ac:dyDescent="0.2">
      <c r="B23" s="39"/>
      <c r="C23" s="25">
        <v>8</v>
      </c>
    </row>
    <row r="27" spans="1:8" x14ac:dyDescent="0.2">
      <c r="A27" t="s">
        <v>11</v>
      </c>
      <c r="B27" t="s">
        <v>12</v>
      </c>
      <c r="C27">
        <v>612010</v>
      </c>
      <c r="D27" t="s">
        <v>13</v>
      </c>
      <c r="E27" t="s">
        <v>14</v>
      </c>
      <c r="F27" t="s">
        <v>15</v>
      </c>
      <c r="G27" t="s">
        <v>5</v>
      </c>
      <c r="H27" t="s">
        <v>16</v>
      </c>
    </row>
    <row r="28" spans="1:8" x14ac:dyDescent="0.2">
      <c r="H28" t="s">
        <v>17</v>
      </c>
    </row>
    <row r="29" spans="1:8" x14ac:dyDescent="0.2">
      <c r="H29" t="s">
        <v>18</v>
      </c>
    </row>
    <row r="30" spans="1:8" x14ac:dyDescent="0.2">
      <c r="H30" t="s">
        <v>19</v>
      </c>
    </row>
    <row r="33" spans="1:8" x14ac:dyDescent="0.2">
      <c r="A33" t="s">
        <v>20</v>
      </c>
      <c r="B33" t="s">
        <v>21</v>
      </c>
      <c r="C33">
        <v>619950</v>
      </c>
      <c r="D33" t="s">
        <v>13</v>
      </c>
      <c r="E33" t="s">
        <v>3</v>
      </c>
      <c r="F33" t="s">
        <v>22</v>
      </c>
      <c r="G33" t="s">
        <v>23</v>
      </c>
      <c r="H33" t="s">
        <v>24</v>
      </c>
    </row>
    <row r="37" spans="1:8" x14ac:dyDescent="0.2">
      <c r="A37" t="s">
        <v>105</v>
      </c>
      <c r="B37" t="s">
        <v>106</v>
      </c>
      <c r="C37">
        <v>615100</v>
      </c>
      <c r="D37" t="s">
        <v>109</v>
      </c>
      <c r="E37" t="s">
        <v>14</v>
      </c>
      <c r="F37" t="s">
        <v>15</v>
      </c>
      <c r="G37" t="s">
        <v>5</v>
      </c>
      <c r="H37" t="s">
        <v>110</v>
      </c>
    </row>
    <row r="38" spans="1:8" x14ac:dyDescent="0.2">
      <c r="B38" t="s">
        <v>107</v>
      </c>
      <c r="C38" t="s">
        <v>108</v>
      </c>
      <c r="E38" s="13" t="s">
        <v>111</v>
      </c>
    </row>
    <row r="41" spans="1:8" x14ac:dyDescent="0.2">
      <c r="A41" t="s">
        <v>130</v>
      </c>
      <c r="B41" t="s">
        <v>131</v>
      </c>
      <c r="C41">
        <v>612201</v>
      </c>
      <c r="D41" t="s">
        <v>132</v>
      </c>
      <c r="E41" t="s">
        <v>3</v>
      </c>
      <c r="F41" t="s">
        <v>15</v>
      </c>
      <c r="G41" t="s">
        <v>5</v>
      </c>
    </row>
    <row r="43" spans="1:8" ht="15.75" thickBot="1" x14ac:dyDescent="0.25"/>
    <row r="44" spans="1:8" x14ac:dyDescent="0.2">
      <c r="A44" s="40" t="s">
        <v>133</v>
      </c>
      <c r="B44" s="41" t="s">
        <v>134</v>
      </c>
      <c r="C44" s="41">
        <v>619950</v>
      </c>
      <c r="D44" s="41" t="s">
        <v>135</v>
      </c>
      <c r="E44" s="41" t="s">
        <v>3</v>
      </c>
      <c r="F44" s="41" t="s">
        <v>22</v>
      </c>
      <c r="G44" s="41" t="s">
        <v>136</v>
      </c>
      <c r="H44" s="42">
        <v>0.5</v>
      </c>
    </row>
    <row r="45" spans="1:8" ht="15.75" thickBot="1" x14ac:dyDescent="0.25">
      <c r="A45" s="43"/>
      <c r="B45" s="44"/>
      <c r="C45" s="44">
        <v>612151</v>
      </c>
      <c r="D45" s="44" t="s">
        <v>137</v>
      </c>
      <c r="E45" s="44" t="s">
        <v>3</v>
      </c>
      <c r="F45" s="44" t="s">
        <v>15</v>
      </c>
      <c r="G45" s="44" t="s">
        <v>5</v>
      </c>
      <c r="H45" s="45">
        <v>0.5</v>
      </c>
    </row>
    <row r="47" spans="1:8" x14ac:dyDescent="0.2">
      <c r="A47" t="s">
        <v>161</v>
      </c>
      <c r="D47" t="s">
        <v>2</v>
      </c>
    </row>
    <row r="50" spans="1:8" x14ac:dyDescent="0.2">
      <c r="A50" s="46" t="s">
        <v>182</v>
      </c>
      <c r="B50" s="47" t="s">
        <v>183</v>
      </c>
      <c r="C50" s="47">
        <v>619950</v>
      </c>
      <c r="D50" s="47" t="s">
        <v>184</v>
      </c>
      <c r="E50" s="47" t="s">
        <v>3</v>
      </c>
      <c r="F50" s="47" t="s">
        <v>22</v>
      </c>
      <c r="G50" s="47" t="s">
        <v>136</v>
      </c>
      <c r="H50" s="48">
        <v>0.5</v>
      </c>
    </row>
    <row r="51" spans="1:8" x14ac:dyDescent="0.2">
      <c r="A51" s="39"/>
      <c r="B51" s="49"/>
      <c r="C51" s="49">
        <v>612200</v>
      </c>
      <c r="D51" s="49" t="s">
        <v>185</v>
      </c>
      <c r="E51" s="49" t="s">
        <v>3</v>
      </c>
      <c r="F51" s="49" t="s">
        <v>15</v>
      </c>
      <c r="G51" s="49" t="s">
        <v>5</v>
      </c>
      <c r="H51" s="50">
        <v>0.5</v>
      </c>
    </row>
    <row r="53" spans="1:8" x14ac:dyDescent="0.2">
      <c r="A53" t="s">
        <v>186</v>
      </c>
      <c r="B53" t="s">
        <v>187</v>
      </c>
      <c r="C53">
        <v>612200</v>
      </c>
      <c r="D53" t="s">
        <v>137</v>
      </c>
      <c r="E53" t="s">
        <v>3</v>
      </c>
      <c r="F53" t="s">
        <v>15</v>
      </c>
      <c r="G53" t="s">
        <v>5</v>
      </c>
    </row>
    <row r="55" spans="1:8" x14ac:dyDescent="0.2">
      <c r="A55" t="s">
        <v>188</v>
      </c>
      <c r="B55" t="s">
        <v>189</v>
      </c>
      <c r="C55">
        <v>615100</v>
      </c>
      <c r="D55" t="s">
        <v>185</v>
      </c>
      <c r="E55" t="s">
        <v>3</v>
      </c>
      <c r="F55" t="s">
        <v>15</v>
      </c>
      <c r="G55" t="s">
        <v>5</v>
      </c>
    </row>
    <row r="56" spans="1:8" x14ac:dyDescent="0.2">
      <c r="B56" t="s">
        <v>190</v>
      </c>
      <c r="D56" t="s">
        <v>191</v>
      </c>
      <c r="E56" t="s">
        <v>192</v>
      </c>
    </row>
    <row r="60" spans="1:8" x14ac:dyDescent="0.2">
      <c r="A60" t="s">
        <v>139</v>
      </c>
      <c r="B60" t="s">
        <v>140</v>
      </c>
      <c r="E60" t="s">
        <v>142</v>
      </c>
    </row>
    <row r="61" spans="1:8" x14ac:dyDescent="0.2">
      <c r="B61" t="s">
        <v>141</v>
      </c>
    </row>
    <row r="64" spans="1:8" x14ac:dyDescent="0.2">
      <c r="A64" t="s">
        <v>193</v>
      </c>
      <c r="B64" t="s">
        <v>194</v>
      </c>
      <c r="C64">
        <v>613000</v>
      </c>
      <c r="D64" t="s">
        <v>137</v>
      </c>
      <c r="E64" t="s">
        <v>3</v>
      </c>
      <c r="F64" t="s">
        <v>15</v>
      </c>
      <c r="G64" t="s">
        <v>5</v>
      </c>
      <c r="H64" t="s">
        <v>195</v>
      </c>
    </row>
    <row r="65" spans="1:8" x14ac:dyDescent="0.2">
      <c r="C65">
        <v>610002</v>
      </c>
      <c r="D65" t="s">
        <v>137</v>
      </c>
      <c r="E65" t="s">
        <v>3</v>
      </c>
      <c r="F65" t="s">
        <v>15</v>
      </c>
      <c r="G65" t="s">
        <v>5</v>
      </c>
      <c r="H65" t="s">
        <v>196</v>
      </c>
    </row>
    <row r="71" spans="1:8" x14ac:dyDescent="0.2">
      <c r="A71" t="s">
        <v>25</v>
      </c>
      <c r="B71" t="s">
        <v>26</v>
      </c>
    </row>
    <row r="73" spans="1:8" x14ac:dyDescent="0.2">
      <c r="A73" t="s">
        <v>147</v>
      </c>
      <c r="B73" t="s">
        <v>155</v>
      </c>
    </row>
  </sheetData>
  <pageMargins left="0.7" right="0.7" top="0.75" bottom="0.75" header="0.3" footer="0.3"/>
  <pageSetup paperSize="9"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37"/>
  <sheetViews>
    <sheetView view="pageBreakPreview" zoomScale="60" zoomScaleNormal="100" workbookViewId="0">
      <selection activeCell="L44" sqref="L44"/>
    </sheetView>
  </sheetViews>
  <sheetFormatPr defaultColWidth="10.76171875" defaultRowHeight="15" x14ac:dyDescent="0.2"/>
  <cols>
    <col min="2" max="2" width="20.58203125" customWidth="1"/>
    <col min="5" max="5" width="8.47265625" customWidth="1"/>
    <col min="6" max="6" width="8.609375" customWidth="1"/>
    <col min="7" max="7" width="8.33984375" customWidth="1"/>
    <col min="8" max="8" width="16.94921875" customWidth="1"/>
  </cols>
  <sheetData>
    <row r="2" spans="1:7" x14ac:dyDescent="0.2">
      <c r="A2" s="4"/>
      <c r="B2" s="4"/>
      <c r="C2" s="4"/>
      <c r="D2" s="4"/>
      <c r="E2" s="4"/>
    </row>
    <row r="3" spans="1:7" x14ac:dyDescent="0.2">
      <c r="A3">
        <v>700000</v>
      </c>
      <c r="B3" t="s">
        <v>164</v>
      </c>
      <c r="D3">
        <v>7050</v>
      </c>
    </row>
    <row r="4" spans="1:7" x14ac:dyDescent="0.2">
      <c r="A4">
        <v>610000</v>
      </c>
      <c r="B4" t="s">
        <v>165</v>
      </c>
      <c r="D4">
        <v>2836.53</v>
      </c>
    </row>
    <row r="5" spans="1:7" x14ac:dyDescent="0.2">
      <c r="A5">
        <v>485000</v>
      </c>
      <c r="B5" t="s">
        <v>166</v>
      </c>
    </row>
    <row r="6" spans="1:7" x14ac:dyDescent="0.2">
      <c r="A6">
        <v>740000</v>
      </c>
      <c r="B6" t="s">
        <v>167</v>
      </c>
      <c r="D6">
        <v>172.85</v>
      </c>
      <c r="E6" t="s">
        <v>3</v>
      </c>
      <c r="F6" t="s">
        <v>168</v>
      </c>
      <c r="G6" t="s">
        <v>5</v>
      </c>
    </row>
    <row r="7" spans="1:7" x14ac:dyDescent="0.2">
      <c r="B7" t="s">
        <v>169</v>
      </c>
    </row>
    <row r="9" spans="1:7" x14ac:dyDescent="0.2">
      <c r="A9">
        <v>736200</v>
      </c>
      <c r="B9" t="s">
        <v>170</v>
      </c>
    </row>
    <row r="10" spans="1:7" x14ac:dyDescent="0.2">
      <c r="C10" s="4"/>
    </row>
    <row r="11" spans="1:7" x14ac:dyDescent="0.2">
      <c r="A11">
        <v>416200</v>
      </c>
      <c r="B11" t="s">
        <v>171</v>
      </c>
    </row>
    <row r="12" spans="1:7" x14ac:dyDescent="0.2">
      <c r="B12" t="s">
        <v>172</v>
      </c>
    </row>
    <row r="14" spans="1:7" x14ac:dyDescent="0.2">
      <c r="A14" s="19">
        <v>430003</v>
      </c>
      <c r="B14" t="s">
        <v>173</v>
      </c>
    </row>
    <row r="15" spans="1:7" x14ac:dyDescent="0.2">
      <c r="A15" s="19">
        <v>489011</v>
      </c>
      <c r="B15" t="s">
        <v>178</v>
      </c>
    </row>
    <row r="16" spans="1:7" x14ac:dyDescent="0.2">
      <c r="A16">
        <v>740000</v>
      </c>
      <c r="B16" t="s">
        <v>174</v>
      </c>
    </row>
    <row r="18" spans="1:5" x14ac:dyDescent="0.2">
      <c r="A18">
        <v>736100</v>
      </c>
      <c r="B18" t="s">
        <v>175</v>
      </c>
    </row>
    <row r="19" spans="1:5" x14ac:dyDescent="0.2">
      <c r="B19" t="s">
        <v>176</v>
      </c>
    </row>
    <row r="22" spans="1:5" x14ac:dyDescent="0.2">
      <c r="A22">
        <v>612700</v>
      </c>
      <c r="B22" t="s">
        <v>177</v>
      </c>
    </row>
    <row r="30" spans="1:5" x14ac:dyDescent="0.2">
      <c r="E30" s="13"/>
    </row>
    <row r="36" spans="8:8" x14ac:dyDescent="0.2">
      <c r="H36" s="36"/>
    </row>
    <row r="37" spans="8:8" x14ac:dyDescent="0.2">
      <c r="H37" s="36"/>
    </row>
  </sheetData>
  <pageMargins left="0.7" right="0.7" top="0.75" bottom="0.75" header="0.3" footer="0.3"/>
  <pageSetup paperSize="9"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4"/>
  <sheetViews>
    <sheetView topLeftCell="A20" zoomScaleNormal="100" workbookViewId="0">
      <selection activeCell="D61" sqref="D61"/>
    </sheetView>
  </sheetViews>
  <sheetFormatPr defaultColWidth="10.76171875" defaultRowHeight="15" x14ac:dyDescent="0.2"/>
  <cols>
    <col min="1" max="1" width="16.41015625" customWidth="1"/>
    <col min="2" max="2" width="29.45703125" customWidth="1"/>
  </cols>
  <sheetData>
    <row r="1" spans="1:3" x14ac:dyDescent="0.2">
      <c r="A1" s="1" t="s">
        <v>251</v>
      </c>
    </row>
    <row r="2" spans="1:3" x14ac:dyDescent="0.2">
      <c r="A2" s="1"/>
    </row>
    <row r="3" spans="1:3" x14ac:dyDescent="0.2">
      <c r="A3" s="1" t="s">
        <v>252</v>
      </c>
    </row>
    <row r="4" spans="1:3" x14ac:dyDescent="0.2">
      <c r="A4" s="1"/>
    </row>
    <row r="5" spans="1:3" x14ac:dyDescent="0.2">
      <c r="A5" s="1" t="s">
        <v>80</v>
      </c>
    </row>
    <row r="6" spans="1:3" x14ac:dyDescent="0.2">
      <c r="A6" s="1"/>
    </row>
    <row r="7" spans="1:3" x14ac:dyDescent="0.2">
      <c r="A7" s="1" t="s">
        <v>81</v>
      </c>
      <c r="B7" s="2">
        <v>205000</v>
      </c>
    </row>
    <row r="8" spans="1:3" x14ac:dyDescent="0.2">
      <c r="A8" s="1" t="s">
        <v>82</v>
      </c>
      <c r="B8" s="2">
        <v>26000</v>
      </c>
    </row>
    <row r="9" spans="1:3" x14ac:dyDescent="0.2">
      <c r="A9" s="1" t="s">
        <v>83</v>
      </c>
      <c r="B9" s="26">
        <v>57750</v>
      </c>
    </row>
    <row r="10" spans="1:3" x14ac:dyDescent="0.2">
      <c r="A10" s="1"/>
      <c r="B10" s="3">
        <f>SUM(B7:B9)</f>
        <v>288750</v>
      </c>
    </row>
    <row r="11" spans="1:3" x14ac:dyDescent="0.2">
      <c r="A11" s="1"/>
    </row>
    <row r="12" spans="1:3" x14ac:dyDescent="0.2">
      <c r="A12" s="1" t="s">
        <v>84</v>
      </c>
    </row>
    <row r="13" spans="1:3" x14ac:dyDescent="0.2">
      <c r="A13" s="1" t="s">
        <v>85</v>
      </c>
    </row>
    <row r="14" spans="1:3" x14ac:dyDescent="0.2">
      <c r="A14" s="1" t="s">
        <v>32</v>
      </c>
    </row>
    <row r="15" spans="1:3" ht="41.25" customHeight="1" x14ac:dyDescent="0.2">
      <c r="A15" s="1"/>
    </row>
    <row r="16" spans="1:3" x14ac:dyDescent="0.2">
      <c r="A16" s="1" t="s">
        <v>33</v>
      </c>
      <c r="B16">
        <v>2015</v>
      </c>
      <c r="C16" t="s">
        <v>34</v>
      </c>
    </row>
    <row r="17" spans="1:10" x14ac:dyDescent="0.2">
      <c r="A17" s="1" t="s">
        <v>35</v>
      </c>
      <c r="B17">
        <v>2016</v>
      </c>
      <c r="C17" t="s">
        <v>34</v>
      </c>
    </row>
    <row r="18" spans="1:10" x14ac:dyDescent="0.2">
      <c r="A18" s="1" t="s">
        <v>36</v>
      </c>
      <c r="B18" t="s">
        <v>37</v>
      </c>
      <c r="C18" t="s">
        <v>38</v>
      </c>
    </row>
    <row r="19" spans="1:10" x14ac:dyDescent="0.2">
      <c r="A19" s="1" t="s">
        <v>65</v>
      </c>
      <c r="B19" t="s">
        <v>66</v>
      </c>
      <c r="C19" t="s">
        <v>38</v>
      </c>
    </row>
    <row r="20" spans="1:10" x14ac:dyDescent="0.2">
      <c r="A20" s="1"/>
    </row>
    <row r="21" spans="1:10" x14ac:dyDescent="0.2">
      <c r="A21" s="1" t="s">
        <v>72</v>
      </c>
    </row>
    <row r="22" spans="1:10" x14ac:dyDescent="0.2">
      <c r="A22" s="1" t="s">
        <v>73</v>
      </c>
    </row>
    <row r="23" spans="1:10" x14ac:dyDescent="0.2">
      <c r="A23" s="1"/>
    </row>
    <row r="24" spans="1:10" x14ac:dyDescent="0.2">
      <c r="A24" s="21" t="s">
        <v>79</v>
      </c>
      <c r="B24" s="22"/>
    </row>
    <row r="25" spans="1:10" x14ac:dyDescent="0.2">
      <c r="A25" s="23">
        <v>62</v>
      </c>
      <c r="B25" s="18" t="s">
        <v>74</v>
      </c>
      <c r="C25" s="19" t="s">
        <v>126</v>
      </c>
      <c r="D25" s="19"/>
      <c r="E25" s="19"/>
      <c r="F25" s="19"/>
      <c r="G25" s="19"/>
    </row>
    <row r="26" spans="1:10" x14ac:dyDescent="0.2">
      <c r="A26" s="23" t="s">
        <v>75</v>
      </c>
      <c r="B26" s="18" t="s">
        <v>76</v>
      </c>
    </row>
    <row r="27" spans="1:10" x14ac:dyDescent="0.2">
      <c r="A27" s="24" t="s">
        <v>77</v>
      </c>
      <c r="B27" s="25" t="s">
        <v>78</v>
      </c>
    </row>
    <row r="28" spans="1:10" x14ac:dyDescent="0.2">
      <c r="A28" s="1"/>
    </row>
    <row r="29" spans="1:10" x14ac:dyDescent="0.2">
      <c r="A29" s="1"/>
    </row>
    <row r="30" spans="1:10" x14ac:dyDescent="0.2">
      <c r="A30" s="1"/>
    </row>
    <row r="31" spans="1:10" x14ac:dyDescent="0.2">
      <c r="A31" s="1"/>
      <c r="C31" t="s">
        <v>39</v>
      </c>
      <c r="J31" t="s">
        <v>39</v>
      </c>
    </row>
    <row r="32" spans="1:10" x14ac:dyDescent="0.2">
      <c r="A32" s="1"/>
      <c r="E32" t="s">
        <v>39</v>
      </c>
    </row>
    <row r="35" spans="1:13" x14ac:dyDescent="0.2">
      <c r="A35" t="s">
        <v>27</v>
      </c>
      <c r="C35" t="s">
        <v>28</v>
      </c>
    </row>
    <row r="36" spans="1:13" x14ac:dyDescent="0.2">
      <c r="A36" t="s">
        <v>29</v>
      </c>
      <c r="C36" t="s">
        <v>30</v>
      </c>
      <c r="D36" t="s">
        <v>31</v>
      </c>
    </row>
    <row r="38" spans="1:13" x14ac:dyDescent="0.2">
      <c r="A38" s="4">
        <v>414611</v>
      </c>
    </row>
    <row r="39" spans="1:13" x14ac:dyDescent="0.2">
      <c r="A39" s="4">
        <v>736270</v>
      </c>
    </row>
    <row r="41" spans="1:13" x14ac:dyDescent="0.2">
      <c r="A41" s="20"/>
      <c r="B41" s="20"/>
      <c r="D41" s="19" t="s">
        <v>62</v>
      </c>
      <c r="E41" s="19"/>
    </row>
    <row r="45" spans="1:13" x14ac:dyDescent="0.2">
      <c r="A45" s="19" t="s">
        <v>63</v>
      </c>
      <c r="B45" s="19"/>
      <c r="C45" s="19"/>
    </row>
    <row r="46" spans="1:13" x14ac:dyDescent="0.2">
      <c r="M46" t="s">
        <v>64</v>
      </c>
    </row>
    <row r="47" spans="1:13" x14ac:dyDescent="0.2">
      <c r="B47" t="s">
        <v>39</v>
      </c>
    </row>
    <row r="48" spans="1:13" x14ac:dyDescent="0.2">
      <c r="A48" t="s">
        <v>39</v>
      </c>
    </row>
    <row r="49" spans="1:7" x14ac:dyDescent="0.2">
      <c r="G49" t="s">
        <v>39</v>
      </c>
    </row>
    <row r="50" spans="1:7" x14ac:dyDescent="0.2">
      <c r="A50" t="s">
        <v>67</v>
      </c>
    </row>
    <row r="51" spans="1:7" x14ac:dyDescent="0.2">
      <c r="A51" t="s">
        <v>68</v>
      </c>
    </row>
    <row r="53" spans="1:7" x14ac:dyDescent="0.2">
      <c r="A53" t="s">
        <v>69</v>
      </c>
      <c r="E53" t="s">
        <v>39</v>
      </c>
    </row>
    <row r="54" spans="1:7" x14ac:dyDescent="0.2">
      <c r="A54" s="19" t="s">
        <v>70</v>
      </c>
      <c r="B54" s="19"/>
    </row>
    <row r="57" spans="1:7" x14ac:dyDescent="0.2">
      <c r="A57" t="s">
        <v>464</v>
      </c>
    </row>
    <row r="58" spans="1:7" x14ac:dyDescent="0.2">
      <c r="A58" t="s">
        <v>465</v>
      </c>
    </row>
    <row r="63" spans="1:7" x14ac:dyDescent="0.2">
      <c r="A63">
        <v>3</v>
      </c>
      <c r="G63" t="s">
        <v>64</v>
      </c>
    </row>
    <row r="64" spans="1:7" x14ac:dyDescent="0.2">
      <c r="A64" t="s">
        <v>71</v>
      </c>
    </row>
  </sheetData>
  <pageMargins left="0.7" right="0.7" top="0.75" bottom="0.75" header="0.3" footer="0.3"/>
  <pageSetup paperSize="9"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42"/>
  <sheetViews>
    <sheetView view="pageBreakPreview" topLeftCell="A13" zoomScale="60" zoomScaleNormal="100" workbookViewId="0">
      <selection activeCell="A39" sqref="A39"/>
    </sheetView>
  </sheetViews>
  <sheetFormatPr defaultColWidth="10.76171875" defaultRowHeight="15" x14ac:dyDescent="0.2"/>
  <cols>
    <col min="1" max="1" width="9.81640625" customWidth="1"/>
    <col min="2" max="2" width="4.5703125" bestFit="1" customWidth="1"/>
    <col min="3" max="4" width="9.14453125" style="2" bestFit="1" customWidth="1"/>
    <col min="5" max="5" width="4.5703125" style="2" bestFit="1" customWidth="1"/>
    <col min="6" max="7" width="9.14453125" style="2" bestFit="1" customWidth="1"/>
    <col min="8" max="8" width="4.83984375" style="2" bestFit="1" customWidth="1"/>
    <col min="9" max="10" width="9.14453125" style="2" bestFit="1" customWidth="1"/>
    <col min="11" max="11" width="8.875" style="2" bestFit="1" customWidth="1"/>
    <col min="12" max="13" width="9.14453125" style="2" bestFit="1" customWidth="1"/>
    <col min="14" max="14" width="6.3203125" style="10" bestFit="1" customWidth="1"/>
    <col min="15" max="16" width="9.14453125" style="2" bestFit="1" customWidth="1"/>
    <col min="17" max="17" width="4.5703125" style="2" bestFit="1" customWidth="1"/>
    <col min="18" max="18" width="9.14453125" style="2" bestFit="1" customWidth="1"/>
    <col min="19" max="19" width="9.953125" style="2" customWidth="1"/>
    <col min="20" max="20" width="9.68359375" style="2" customWidth="1"/>
    <col min="21" max="21" width="9.953125" style="2" customWidth="1"/>
    <col min="22" max="22" width="10.89453125" style="2" bestFit="1" customWidth="1"/>
    <col min="23" max="23" width="9.68359375" bestFit="1" customWidth="1"/>
    <col min="24" max="24" width="8.609375" customWidth="1"/>
    <col min="25" max="25" width="10.0859375" style="2" customWidth="1"/>
    <col min="26" max="26" width="9.14453125" style="2" customWidth="1"/>
    <col min="27" max="27" width="13.1796875" style="2" customWidth="1"/>
    <col min="28" max="29" width="9.28125" style="2" customWidth="1"/>
    <col min="30" max="30" width="8.609375" style="2" customWidth="1"/>
    <col min="31" max="31" width="8.875" style="2" customWidth="1"/>
    <col min="32" max="32" width="10.0859375" style="2" customWidth="1"/>
    <col min="33" max="33" width="8.609375" style="2" customWidth="1"/>
    <col min="34" max="34" width="9.4140625" style="2" customWidth="1"/>
    <col min="35" max="35" width="9.14453125" style="2" customWidth="1"/>
    <col min="36" max="36" width="7.3984375" style="2" customWidth="1"/>
    <col min="37" max="37" width="9.81640625" style="2" customWidth="1"/>
    <col min="38" max="38" width="11.97265625" style="2" customWidth="1"/>
    <col min="39" max="40" width="9.81640625" customWidth="1"/>
    <col min="41" max="42" width="11.43359375" style="2"/>
    <col min="43" max="43" width="14.9296875" style="2" customWidth="1"/>
  </cols>
  <sheetData>
    <row r="1" spans="1:45" x14ac:dyDescent="0.2">
      <c r="A1" s="4"/>
      <c r="C1" s="2" t="s">
        <v>40</v>
      </c>
      <c r="D1" s="2">
        <v>325</v>
      </c>
      <c r="E1" s="8" t="s">
        <v>43</v>
      </c>
      <c r="F1" s="2" t="s">
        <v>46</v>
      </c>
      <c r="G1" s="2">
        <v>325</v>
      </c>
      <c r="H1" s="8" t="s">
        <v>47</v>
      </c>
      <c r="I1" s="2" t="s">
        <v>46</v>
      </c>
      <c r="J1" s="2">
        <v>325</v>
      </c>
      <c r="K1" s="8" t="s">
        <v>47</v>
      </c>
      <c r="L1" s="2" t="s">
        <v>46</v>
      </c>
      <c r="M1" s="2">
        <v>325</v>
      </c>
      <c r="N1" s="11" t="s">
        <v>47</v>
      </c>
      <c r="O1" s="2" t="s">
        <v>40</v>
      </c>
      <c r="P1" s="2">
        <v>325</v>
      </c>
      <c r="Q1" s="8" t="s">
        <v>43</v>
      </c>
      <c r="R1" s="2" t="s">
        <v>46</v>
      </c>
      <c r="S1" s="2">
        <v>325</v>
      </c>
      <c r="T1" s="2" t="s">
        <v>47</v>
      </c>
      <c r="U1" s="2" t="s">
        <v>46</v>
      </c>
      <c r="V1" s="2">
        <v>325</v>
      </c>
      <c r="W1" s="8" t="s">
        <v>47</v>
      </c>
      <c r="X1" s="2"/>
      <c r="Y1" s="2" t="s">
        <v>46</v>
      </c>
      <c r="Z1" s="2">
        <v>325</v>
      </c>
      <c r="AA1" s="8" t="s">
        <v>47</v>
      </c>
      <c r="AB1" s="2" t="s">
        <v>46</v>
      </c>
      <c r="AC1" s="2">
        <v>325</v>
      </c>
      <c r="AD1" s="10" t="s">
        <v>47</v>
      </c>
      <c r="AE1" s="2" t="s">
        <v>46</v>
      </c>
      <c r="AF1" s="2">
        <v>325</v>
      </c>
      <c r="AG1" s="2" t="s">
        <v>47</v>
      </c>
      <c r="AH1" s="2" t="s">
        <v>40</v>
      </c>
      <c r="AI1" s="2">
        <v>325</v>
      </c>
      <c r="AJ1" s="2" t="s">
        <v>43</v>
      </c>
      <c r="AK1" s="2" t="s">
        <v>89</v>
      </c>
      <c r="AL1" s="2">
        <v>325</v>
      </c>
      <c r="AM1" s="2" t="s">
        <v>47</v>
      </c>
      <c r="AN1" s="2"/>
      <c r="AO1" s="2" t="s">
        <v>92</v>
      </c>
      <c r="AP1" s="2" t="s">
        <v>92</v>
      </c>
    </row>
    <row r="2" spans="1:45" x14ac:dyDescent="0.2">
      <c r="A2" s="4"/>
      <c r="E2" s="8"/>
      <c r="H2" s="8"/>
      <c r="K2" s="8"/>
      <c r="N2" s="11"/>
      <c r="Q2" s="8"/>
      <c r="W2" s="17"/>
      <c r="X2" s="13"/>
      <c r="AA2" s="8"/>
      <c r="AD2" s="11"/>
      <c r="AO2" s="2" t="s">
        <v>46</v>
      </c>
      <c r="AP2" s="2">
        <v>325</v>
      </c>
      <c r="AR2" t="s">
        <v>118</v>
      </c>
    </row>
    <row r="3" spans="1:45" x14ac:dyDescent="0.2">
      <c r="A3" s="4"/>
      <c r="E3" s="8"/>
      <c r="H3" s="8"/>
      <c r="K3" s="8"/>
      <c r="N3" s="11"/>
      <c r="Q3" s="8"/>
      <c r="T3" s="11"/>
      <c r="W3" s="17"/>
      <c r="X3" s="13"/>
      <c r="AA3" s="11"/>
      <c r="AD3" s="11"/>
      <c r="AG3" s="11"/>
      <c r="AJ3" s="8"/>
    </row>
    <row r="4" spans="1:45" x14ac:dyDescent="0.2">
      <c r="A4" s="4"/>
      <c r="C4" s="3" t="s">
        <v>44</v>
      </c>
      <c r="E4" s="8"/>
      <c r="F4" s="3" t="s">
        <v>45</v>
      </c>
      <c r="H4" s="8"/>
      <c r="I4" s="3" t="s">
        <v>48</v>
      </c>
      <c r="K4" s="8"/>
      <c r="L4" s="3" t="s">
        <v>50</v>
      </c>
      <c r="N4" s="11"/>
      <c r="O4" s="2" t="s">
        <v>54</v>
      </c>
      <c r="Q4" s="8"/>
      <c r="R4" s="2" t="s">
        <v>55</v>
      </c>
      <c r="T4" s="11"/>
      <c r="U4" s="2" t="s">
        <v>57</v>
      </c>
      <c r="W4" s="17"/>
      <c r="X4" s="13"/>
      <c r="Y4" s="2" t="s">
        <v>59</v>
      </c>
      <c r="AA4" s="11"/>
      <c r="AB4" s="2" t="s">
        <v>60</v>
      </c>
      <c r="AD4" s="11"/>
      <c r="AE4" s="2" t="s">
        <v>61</v>
      </c>
      <c r="AG4" s="11"/>
      <c r="AH4" s="2" t="s">
        <v>87</v>
      </c>
      <c r="AJ4" s="8"/>
      <c r="AK4" s="2" t="s">
        <v>88</v>
      </c>
    </row>
    <row r="5" spans="1:45" x14ac:dyDescent="0.2">
      <c r="A5" s="4"/>
      <c r="E5" s="8"/>
      <c r="H5" s="8"/>
      <c r="K5" s="8"/>
      <c r="N5" s="11"/>
      <c r="Q5" s="8"/>
      <c r="T5" s="11"/>
      <c r="W5" s="17"/>
      <c r="X5" s="13"/>
      <c r="AA5" s="11"/>
      <c r="AD5" s="11"/>
      <c r="AG5" s="11"/>
      <c r="AJ5" s="8"/>
      <c r="AM5" s="13"/>
      <c r="AN5" s="13"/>
    </row>
    <row r="6" spans="1:45" x14ac:dyDescent="0.2">
      <c r="A6" s="4" t="s">
        <v>93</v>
      </c>
      <c r="B6" t="s">
        <v>41</v>
      </c>
      <c r="C6" s="2">
        <v>20861.39</v>
      </c>
      <c r="D6" s="2">
        <f>-D7</f>
        <v>0</v>
      </c>
      <c r="E6" s="8"/>
      <c r="F6" s="2">
        <v>24791.15</v>
      </c>
      <c r="H6" s="8"/>
      <c r="I6" s="2">
        <v>28537.69</v>
      </c>
      <c r="J6" s="2">
        <f>30533.98-1996.29</f>
        <v>28537.69</v>
      </c>
      <c r="K6" s="8">
        <f>I6-J6</f>
        <v>0</v>
      </c>
      <c r="L6" s="2">
        <v>37153.97</v>
      </c>
      <c r="M6" s="2">
        <f>39953.81-107.67-624.76-1996.29</f>
        <v>37225.089999999997</v>
      </c>
      <c r="N6" s="27">
        <f>L6-M6</f>
        <v>-71.119999999995343</v>
      </c>
      <c r="O6" s="2">
        <v>27252.14</v>
      </c>
      <c r="P6" s="2">
        <f>30067.33-707.64-111.26-1996.29</f>
        <v>27252.140000000003</v>
      </c>
      <c r="Q6" s="8">
        <f>O6-P6</f>
        <v>0</v>
      </c>
      <c r="R6" s="2">
        <v>40835.68</v>
      </c>
      <c r="S6" s="2">
        <f>43602.64-1996.29-663-107.67</f>
        <v>40835.68</v>
      </c>
      <c r="T6" s="11">
        <f>R6-S6</f>
        <v>0</v>
      </c>
      <c r="U6" s="2">
        <f>36767.58-3605.93</f>
        <v>33161.65</v>
      </c>
      <c r="V6" s="2">
        <f>33128.05-586.5-1996.29-111.26</f>
        <v>30434.000000000004</v>
      </c>
      <c r="W6" s="30">
        <f>2727.65-71.12</f>
        <v>2656.53</v>
      </c>
      <c r="X6" s="15">
        <v>71.12</v>
      </c>
      <c r="Y6" s="2">
        <v>25135.15</v>
      </c>
      <c r="Z6" s="2">
        <f>30558.83-656.63-1996.29-112.62</f>
        <v>27793.29</v>
      </c>
      <c r="AA6" s="27">
        <f>Y6-Z6</f>
        <v>-2658.1399999999994</v>
      </c>
      <c r="AB6" s="2">
        <v>25772.04</v>
      </c>
      <c r="AC6" s="2">
        <f>28389.7-513.7-1996.29-107.67</f>
        <v>25772.04</v>
      </c>
      <c r="AD6" s="11">
        <f>AB6-AC6</f>
        <v>0</v>
      </c>
      <c r="AE6" s="2">
        <f>34925.5-2544.74</f>
        <v>32380.760000000002</v>
      </c>
      <c r="AF6" s="2">
        <f>35520.05-760.8-111.26-1996.29</f>
        <v>32651.699999999997</v>
      </c>
      <c r="AG6" s="27">
        <f>AE6-AF6</f>
        <v>-270.93999999999505</v>
      </c>
      <c r="AH6" s="2">
        <f>30243.57-1384.57</f>
        <v>28859</v>
      </c>
      <c r="AI6" s="2">
        <f>31684.74-721.78-1996.29-107.67</f>
        <v>28859.000000000004</v>
      </c>
      <c r="AJ6" s="8">
        <f>AH6-AI6</f>
        <v>0</v>
      </c>
      <c r="AK6" s="2">
        <f>80031.19-20023.52</f>
        <v>60007.67</v>
      </c>
      <c r="AL6" s="2">
        <f>60409-1225.8-1996.29-109.07</f>
        <v>57077.84</v>
      </c>
      <c r="AM6" s="15">
        <f>2929.83-2658.14</f>
        <v>271.69000000000005</v>
      </c>
      <c r="AN6" s="15">
        <v>2658.14</v>
      </c>
      <c r="AO6" s="2">
        <v>384748.29</v>
      </c>
      <c r="AP6" s="2">
        <f>415874.23-8521.13-23955.48-1306.61</f>
        <v>382091.01</v>
      </c>
      <c r="AQ6" s="10">
        <f>AO6-AP6</f>
        <v>2657.2799999999697</v>
      </c>
      <c r="AR6">
        <v>-1656.99</v>
      </c>
      <c r="AS6" s="2">
        <f>AQ6+AR6</f>
        <v>1000.2899999999697</v>
      </c>
    </row>
    <row r="7" spans="1:45" x14ac:dyDescent="0.2">
      <c r="A7" s="4">
        <v>620300</v>
      </c>
      <c r="C7" s="2">
        <v>568.75</v>
      </c>
      <c r="D7" s="2">
        <v>0</v>
      </c>
      <c r="E7" s="8"/>
      <c r="H7" s="8"/>
      <c r="K7" s="8"/>
      <c r="L7" s="2">
        <v>624.76</v>
      </c>
      <c r="M7" s="2">
        <v>624.76</v>
      </c>
      <c r="N7" s="11">
        <f>L7-M7</f>
        <v>0</v>
      </c>
      <c r="O7" s="2">
        <v>707.64</v>
      </c>
      <c r="P7" s="2">
        <v>707.64</v>
      </c>
      <c r="Q7" s="8">
        <f t="shared" ref="Q7:Q34" si="0">O7-P7</f>
        <v>0</v>
      </c>
      <c r="R7" s="2">
        <v>663</v>
      </c>
      <c r="S7" s="2">
        <v>663</v>
      </c>
      <c r="T7" s="11">
        <f t="shared" ref="T7:T34" si="1">R7-S7</f>
        <v>0</v>
      </c>
      <c r="U7" s="2">
        <v>586.5</v>
      </c>
      <c r="V7" s="2">
        <v>586.5</v>
      </c>
      <c r="W7" s="11">
        <f>U7-V7</f>
        <v>0</v>
      </c>
      <c r="X7" s="10"/>
      <c r="Y7" s="2">
        <v>656.63</v>
      </c>
      <c r="Z7" s="2">
        <v>656.63</v>
      </c>
      <c r="AA7" s="11">
        <f t="shared" ref="AA7:AA34" si="2">Y7-Z7</f>
        <v>0</v>
      </c>
      <c r="AB7" s="2">
        <v>513.70000000000005</v>
      </c>
      <c r="AC7" s="2">
        <v>513.70000000000005</v>
      </c>
      <c r="AD7" s="11">
        <f t="shared" ref="AD7:AD34" si="3">AB7-AC7</f>
        <v>0</v>
      </c>
      <c r="AE7" s="2">
        <v>760.8</v>
      </c>
      <c r="AF7" s="2">
        <v>760.8</v>
      </c>
      <c r="AG7" s="11">
        <f t="shared" ref="AG7:AG34" si="4">AE7-AF7</f>
        <v>0</v>
      </c>
      <c r="AH7" s="2">
        <v>721.78</v>
      </c>
      <c r="AI7" s="2">
        <v>721.78</v>
      </c>
      <c r="AJ7" s="8">
        <f t="shared" ref="AJ7:AJ34" si="5">AH7-AI7</f>
        <v>0</v>
      </c>
      <c r="AK7" s="2">
        <v>1225</v>
      </c>
      <c r="AL7" s="2">
        <v>1225</v>
      </c>
      <c r="AM7" s="10">
        <f>AK7-AL7</f>
        <v>0</v>
      </c>
      <c r="AN7" s="10"/>
      <c r="AO7" s="2">
        <v>8521.1299999999992</v>
      </c>
      <c r="AP7" s="2">
        <v>8521.1299999999992</v>
      </c>
      <c r="AQ7" s="10">
        <f t="shared" ref="AQ7:AQ35" si="6">AO7-AP7</f>
        <v>0</v>
      </c>
      <c r="AR7">
        <v>1665.16</v>
      </c>
      <c r="AS7" s="31">
        <f>AQ6+AR6+AR7</f>
        <v>2665.4499999999698</v>
      </c>
    </row>
    <row r="8" spans="1:45" x14ac:dyDescent="0.2">
      <c r="A8" s="4"/>
      <c r="C8" s="3">
        <f>SUM(C6:C7)</f>
        <v>21430.14</v>
      </c>
      <c r="D8" s="2">
        <v>21430.14</v>
      </c>
      <c r="E8" s="8">
        <f>C8-D8</f>
        <v>0</v>
      </c>
      <c r="F8" s="2">
        <v>24791.15</v>
      </c>
      <c r="G8" s="2">
        <f>26787.44-1996.29</f>
        <v>24791.149999999998</v>
      </c>
      <c r="H8" s="8">
        <f>F8-G8</f>
        <v>0</v>
      </c>
      <c r="K8" s="8"/>
      <c r="N8" s="11"/>
      <c r="Q8" s="8"/>
      <c r="T8" s="11"/>
      <c r="W8" s="11"/>
      <c r="X8" s="10"/>
      <c r="AA8" s="11"/>
      <c r="AD8" s="11"/>
      <c r="AG8" s="11"/>
      <c r="AJ8" s="8"/>
      <c r="AM8" s="10"/>
      <c r="AN8" s="10"/>
      <c r="AQ8" s="10"/>
    </row>
    <row r="9" spans="1:45" x14ac:dyDescent="0.2">
      <c r="A9" s="4"/>
      <c r="E9" s="8">
        <f t="shared" ref="E9:E20" si="7">C9-D9</f>
        <v>0</v>
      </c>
      <c r="H9" s="8"/>
      <c r="K9" s="8"/>
      <c r="N9" s="11"/>
      <c r="Q9" s="8"/>
      <c r="T9" s="11"/>
      <c r="W9" s="11"/>
      <c r="X9" s="10"/>
      <c r="AA9" s="11"/>
      <c r="AD9" s="11"/>
      <c r="AG9" s="11"/>
      <c r="AJ9" s="8"/>
      <c r="AM9" s="10"/>
      <c r="AN9" s="10"/>
      <c r="AQ9" s="10"/>
    </row>
    <row r="10" spans="1:45" x14ac:dyDescent="0.2">
      <c r="A10" s="4"/>
      <c r="E10" s="8">
        <f t="shared" si="7"/>
        <v>0</v>
      </c>
      <c r="H10" s="8"/>
      <c r="K10" s="8"/>
      <c r="N10" s="11"/>
      <c r="Q10" s="8"/>
      <c r="T10" s="11"/>
      <c r="W10" s="11"/>
      <c r="X10" s="10"/>
      <c r="AA10" s="11"/>
      <c r="AD10" s="11"/>
      <c r="AG10" s="11"/>
      <c r="AJ10" s="8"/>
      <c r="AM10" s="10"/>
      <c r="AN10" s="10"/>
      <c r="AQ10" s="10"/>
    </row>
    <row r="11" spans="1:45" x14ac:dyDescent="0.2">
      <c r="A11" s="4">
        <v>620220</v>
      </c>
      <c r="C11" s="2">
        <v>1996.29</v>
      </c>
      <c r="D11" s="2">
        <v>1996.29</v>
      </c>
      <c r="E11" s="8">
        <f t="shared" si="7"/>
        <v>0</v>
      </c>
      <c r="F11" s="2">
        <v>1996.29</v>
      </c>
      <c r="G11" s="2">
        <v>1996.29</v>
      </c>
      <c r="H11" s="8">
        <f t="shared" ref="H11:H34" si="8">F11-G11</f>
        <v>0</v>
      </c>
      <c r="I11" s="2">
        <v>1996.29</v>
      </c>
      <c r="J11" s="2">
        <v>1996.29</v>
      </c>
      <c r="K11" s="8">
        <f t="shared" ref="K11:K20" si="9">I11-J11</f>
        <v>0</v>
      </c>
      <c r="L11" s="2">
        <v>1996.29</v>
      </c>
      <c r="M11" s="2">
        <v>1996.29</v>
      </c>
      <c r="N11" s="11">
        <f t="shared" ref="N11:N20" si="10">L11-M11</f>
        <v>0</v>
      </c>
      <c r="O11" s="2">
        <v>1996.29</v>
      </c>
      <c r="P11" s="2">
        <v>1996.29</v>
      </c>
      <c r="Q11" s="8">
        <f t="shared" si="0"/>
        <v>0</v>
      </c>
      <c r="R11" s="2">
        <v>1996.29</v>
      </c>
      <c r="S11" s="2">
        <v>1996.29</v>
      </c>
      <c r="T11" s="11">
        <f t="shared" si="1"/>
        <v>0</v>
      </c>
      <c r="U11" s="2">
        <v>1996.29</v>
      </c>
      <c r="V11" s="2">
        <v>1996.29</v>
      </c>
      <c r="W11" s="11">
        <f t="shared" ref="W11:W34" si="11">U11-V11</f>
        <v>0</v>
      </c>
      <c r="X11" s="10"/>
      <c r="Y11" s="2">
        <v>1996.29</v>
      </c>
      <c r="Z11" s="2">
        <v>1996.29</v>
      </c>
      <c r="AA11" s="11">
        <f t="shared" si="2"/>
        <v>0</v>
      </c>
      <c r="AB11" s="2">
        <v>1996.29</v>
      </c>
      <c r="AC11" s="2">
        <v>1996.29</v>
      </c>
      <c r="AD11" s="11">
        <f t="shared" si="3"/>
        <v>0</v>
      </c>
      <c r="AE11" s="2">
        <v>1996.29</v>
      </c>
      <c r="AF11" s="2">
        <v>1996.29</v>
      </c>
      <c r="AG11" s="11">
        <f t="shared" si="4"/>
        <v>0</v>
      </c>
      <c r="AH11" s="2">
        <v>1996.29</v>
      </c>
      <c r="AI11" s="2">
        <v>1996.29</v>
      </c>
      <c r="AJ11" s="8">
        <f t="shared" si="5"/>
        <v>0</v>
      </c>
      <c r="AK11" s="2">
        <v>1996.29</v>
      </c>
      <c r="AL11" s="2">
        <v>1996.29</v>
      </c>
      <c r="AM11" s="10">
        <f t="shared" ref="AM11:AM20" si="12">AK11-AL11</f>
        <v>0</v>
      </c>
      <c r="AN11" s="10"/>
      <c r="AO11" s="2">
        <v>23955.48</v>
      </c>
      <c r="AP11" s="2">
        <v>23955.48</v>
      </c>
      <c r="AQ11" s="10">
        <f t="shared" si="6"/>
        <v>0</v>
      </c>
    </row>
    <row r="12" spans="1:45" x14ac:dyDescent="0.2">
      <c r="A12" s="4">
        <v>620900</v>
      </c>
      <c r="C12" s="2">
        <v>0</v>
      </c>
      <c r="D12" s="2">
        <v>0</v>
      </c>
      <c r="E12" s="8">
        <f t="shared" si="7"/>
        <v>0</v>
      </c>
      <c r="F12" s="2">
        <v>745.89</v>
      </c>
      <c r="G12" s="2">
        <v>745.89</v>
      </c>
      <c r="H12" s="8">
        <f t="shared" si="8"/>
        <v>0</v>
      </c>
      <c r="I12" s="2">
        <v>745.88</v>
      </c>
      <c r="J12" s="2">
        <v>745.88</v>
      </c>
      <c r="K12" s="8">
        <f t="shared" si="9"/>
        <v>0</v>
      </c>
      <c r="N12" s="11"/>
      <c r="Q12" s="8"/>
      <c r="T12" s="11"/>
      <c r="W12" s="11"/>
      <c r="X12" s="10"/>
      <c r="AA12" s="11"/>
      <c r="AD12" s="11"/>
      <c r="AG12" s="11"/>
      <c r="AJ12" s="8"/>
      <c r="AM12" s="10"/>
      <c r="AN12" s="10"/>
      <c r="AQ12" s="10"/>
    </row>
    <row r="13" spans="1:45" x14ac:dyDescent="0.2">
      <c r="A13" s="4">
        <v>623900</v>
      </c>
      <c r="C13" s="2">
        <v>251.56</v>
      </c>
      <c r="D13" s="2">
        <v>251.56</v>
      </c>
      <c r="E13" s="8">
        <f t="shared" si="7"/>
        <v>0</v>
      </c>
      <c r="F13" s="2">
        <v>301.51</v>
      </c>
      <c r="G13" s="2">
        <v>301.51</v>
      </c>
      <c r="H13" s="8">
        <f t="shared" si="8"/>
        <v>0</v>
      </c>
      <c r="I13" s="2">
        <v>360.81</v>
      </c>
      <c r="J13" s="2">
        <v>360.81</v>
      </c>
      <c r="K13" s="8">
        <f t="shared" si="9"/>
        <v>0</v>
      </c>
      <c r="L13" s="2">
        <v>338.21</v>
      </c>
      <c r="M13" s="2">
        <v>338.21</v>
      </c>
      <c r="N13" s="11">
        <f t="shared" si="10"/>
        <v>0</v>
      </c>
      <c r="O13" s="2">
        <v>304.35000000000002</v>
      </c>
      <c r="P13" s="2">
        <v>304.35000000000002</v>
      </c>
      <c r="Q13" s="8">
        <f t="shared" si="0"/>
        <v>0</v>
      </c>
      <c r="R13" s="2">
        <v>344.92</v>
      </c>
      <c r="S13" s="2">
        <v>344.92</v>
      </c>
      <c r="T13" s="11">
        <f t="shared" si="1"/>
        <v>0</v>
      </c>
      <c r="U13" s="2">
        <f>475.18-29.4</f>
        <v>445.78000000000003</v>
      </c>
      <c r="V13" s="2">
        <f>21.32+235.22+25.13+161.4</f>
        <v>443.07000000000005</v>
      </c>
      <c r="W13" s="27">
        <f t="shared" si="11"/>
        <v>2.7099999999999795</v>
      </c>
      <c r="X13" s="15"/>
      <c r="Y13" s="2">
        <v>405.9</v>
      </c>
      <c r="Z13" s="2">
        <f>265.14+25.13+118.34</f>
        <v>408.61</v>
      </c>
      <c r="AA13" s="27">
        <f t="shared" si="2"/>
        <v>-2.7100000000000364</v>
      </c>
      <c r="AB13" s="2">
        <f>290.81-73.2</f>
        <v>217.61</v>
      </c>
      <c r="AC13" s="2">
        <v>228.65</v>
      </c>
      <c r="AD13" s="11">
        <f t="shared" si="3"/>
        <v>-11.039999999999992</v>
      </c>
      <c r="AE13" s="2">
        <f>467.91-50.86</f>
        <v>417.05</v>
      </c>
      <c r="AF13" s="2">
        <v>403.66</v>
      </c>
      <c r="AG13" s="11">
        <f t="shared" si="4"/>
        <v>13.389999999999986</v>
      </c>
      <c r="AH13" s="2">
        <v>344.71</v>
      </c>
      <c r="AI13" s="2">
        <f>265.58+25.13+54</f>
        <v>344.71</v>
      </c>
      <c r="AJ13" s="8">
        <f t="shared" si="5"/>
        <v>0</v>
      </c>
      <c r="AK13" s="2">
        <f>606.58-306.26</f>
        <v>300.32000000000005</v>
      </c>
      <c r="AL13" s="2">
        <f>210.4+83.61</f>
        <v>294.01</v>
      </c>
      <c r="AM13" s="10">
        <f t="shared" si="12"/>
        <v>6.3100000000000591</v>
      </c>
      <c r="AN13" s="10"/>
      <c r="AO13" s="2">
        <v>4032.73</v>
      </c>
      <c r="AP13" s="2">
        <v>4030.02</v>
      </c>
      <c r="AQ13" s="10">
        <f t="shared" si="6"/>
        <v>2.7100000000000364</v>
      </c>
    </row>
    <row r="14" spans="1:45" x14ac:dyDescent="0.2">
      <c r="A14" s="4">
        <v>623910</v>
      </c>
      <c r="E14" s="8">
        <f t="shared" si="7"/>
        <v>0</v>
      </c>
      <c r="H14" s="8"/>
      <c r="K14" s="8"/>
      <c r="L14" s="2">
        <v>54.3</v>
      </c>
      <c r="M14" s="2">
        <v>54.3</v>
      </c>
      <c r="N14" s="11">
        <f t="shared" si="10"/>
        <v>0</v>
      </c>
      <c r="Q14" s="8">
        <f t="shared" si="0"/>
        <v>0</v>
      </c>
      <c r="T14" s="11"/>
      <c r="U14" s="2">
        <f>300-87.5</f>
        <v>212.5</v>
      </c>
      <c r="V14" s="2">
        <v>125</v>
      </c>
      <c r="W14" s="27">
        <f t="shared" si="11"/>
        <v>87.5</v>
      </c>
      <c r="X14" s="15"/>
      <c r="Y14" s="2">
        <v>0</v>
      </c>
      <c r="Z14" s="2">
        <v>87.5</v>
      </c>
      <c r="AA14" s="27">
        <f>Y14-Z14</f>
        <v>-87.5</v>
      </c>
      <c r="AD14" s="11"/>
      <c r="AG14" s="11"/>
      <c r="AJ14" s="8"/>
      <c r="AK14" s="2">
        <v>2399.61</v>
      </c>
      <c r="AL14" s="2">
        <v>2312.11</v>
      </c>
      <c r="AM14" s="10">
        <f t="shared" si="12"/>
        <v>87.5</v>
      </c>
      <c r="AN14" s="10"/>
      <c r="AO14" s="2">
        <v>2666.41</v>
      </c>
      <c r="AP14" s="2">
        <v>2578.91</v>
      </c>
      <c r="AQ14" s="10">
        <f t="shared" si="6"/>
        <v>87.5</v>
      </c>
      <c r="AS14" t="s">
        <v>39</v>
      </c>
    </row>
    <row r="15" spans="1:45" x14ac:dyDescent="0.2">
      <c r="A15" s="4"/>
      <c r="E15" s="8">
        <f t="shared" si="7"/>
        <v>0</v>
      </c>
      <c r="H15" s="8"/>
      <c r="K15" s="8"/>
      <c r="N15" s="11"/>
      <c r="Q15" s="8"/>
      <c r="T15" s="11"/>
      <c r="W15" s="11"/>
      <c r="X15" s="10"/>
      <c r="AA15" s="11"/>
      <c r="AD15" s="11"/>
      <c r="AG15" s="11"/>
      <c r="AJ15" s="8"/>
      <c r="AM15" s="10"/>
      <c r="AN15" s="10"/>
      <c r="AQ15" s="10"/>
    </row>
    <row r="16" spans="1:45" x14ac:dyDescent="0.2">
      <c r="A16" s="4"/>
      <c r="E16" s="8">
        <f t="shared" si="7"/>
        <v>0</v>
      </c>
      <c r="H16" s="8"/>
      <c r="K16" s="8"/>
      <c r="N16" s="11"/>
      <c r="Q16" s="8"/>
      <c r="T16" s="11"/>
      <c r="W16" s="11"/>
      <c r="X16" s="10"/>
      <c r="AA16" s="11"/>
      <c r="AD16" s="11"/>
      <c r="AG16" s="11"/>
      <c r="AJ16" s="8"/>
      <c r="AM16" s="10"/>
      <c r="AN16" s="10"/>
      <c r="AQ16" s="10"/>
    </row>
    <row r="17" spans="1:43" x14ac:dyDescent="0.2">
      <c r="A17" s="4">
        <v>623920</v>
      </c>
      <c r="C17" s="2">
        <v>108.71</v>
      </c>
      <c r="D17" s="2">
        <v>108.71</v>
      </c>
      <c r="E17" s="8">
        <f t="shared" si="7"/>
        <v>0</v>
      </c>
      <c r="F17" s="2">
        <v>100.49</v>
      </c>
      <c r="G17" s="2">
        <v>100.49</v>
      </c>
      <c r="H17" s="8">
        <f t="shared" si="8"/>
        <v>0</v>
      </c>
      <c r="I17" s="2">
        <v>111.26</v>
      </c>
      <c r="J17" s="2">
        <v>111.26</v>
      </c>
      <c r="K17" s="8">
        <f t="shared" si="9"/>
        <v>0</v>
      </c>
      <c r="L17" s="2">
        <v>107.67</v>
      </c>
      <c r="M17" s="2">
        <v>107.67</v>
      </c>
      <c r="N17" s="11">
        <f t="shared" si="10"/>
        <v>0</v>
      </c>
      <c r="O17" s="2">
        <v>111.26</v>
      </c>
      <c r="P17" s="2">
        <v>111.26</v>
      </c>
      <c r="Q17" s="8">
        <f t="shared" si="0"/>
        <v>0</v>
      </c>
      <c r="R17" s="2">
        <v>107.67</v>
      </c>
      <c r="S17" s="2">
        <v>107.67</v>
      </c>
      <c r="T17" s="11">
        <f t="shared" si="1"/>
        <v>0</v>
      </c>
      <c r="U17" s="2">
        <v>111.26</v>
      </c>
      <c r="V17" s="2">
        <v>111.26</v>
      </c>
      <c r="W17" s="11">
        <f t="shared" si="11"/>
        <v>0</v>
      </c>
      <c r="X17" s="10"/>
      <c r="Y17" s="2">
        <v>112.62</v>
      </c>
      <c r="Z17" s="2">
        <v>112.62</v>
      </c>
      <c r="AA17" s="11">
        <f t="shared" si="2"/>
        <v>0</v>
      </c>
      <c r="AB17" s="2">
        <v>107.67</v>
      </c>
      <c r="AC17" s="2">
        <v>107.67</v>
      </c>
      <c r="AD17" s="11">
        <f t="shared" si="3"/>
        <v>0</v>
      </c>
      <c r="AE17" s="2">
        <v>111.26</v>
      </c>
      <c r="AF17" s="2">
        <v>111.26</v>
      </c>
      <c r="AG17" s="11">
        <f t="shared" si="4"/>
        <v>0</v>
      </c>
      <c r="AH17" s="2">
        <v>107.67</v>
      </c>
      <c r="AI17" s="2">
        <v>107.67</v>
      </c>
      <c r="AJ17" s="8">
        <f t="shared" si="5"/>
        <v>0</v>
      </c>
      <c r="AK17" s="2">
        <v>109.07</v>
      </c>
      <c r="AL17" s="2">
        <v>109.07</v>
      </c>
      <c r="AM17" s="10">
        <f t="shared" si="12"/>
        <v>0</v>
      </c>
      <c r="AN17" s="10"/>
      <c r="AO17" s="2">
        <v>1306.6099999999999</v>
      </c>
      <c r="AP17" s="2">
        <v>1306.6099999999999</v>
      </c>
      <c r="AQ17" s="10">
        <f t="shared" si="6"/>
        <v>0</v>
      </c>
    </row>
    <row r="18" spans="1:43" x14ac:dyDescent="0.2">
      <c r="A18" s="4">
        <v>740200</v>
      </c>
      <c r="C18" s="2">
        <v>-108.71</v>
      </c>
      <c r="D18" s="2">
        <v>-108.71</v>
      </c>
      <c r="E18" s="8">
        <f t="shared" si="7"/>
        <v>0</v>
      </c>
      <c r="F18" s="2">
        <v>-100.49</v>
      </c>
      <c r="G18" s="2">
        <v>-100.49</v>
      </c>
      <c r="H18" s="8">
        <f t="shared" si="8"/>
        <v>0</v>
      </c>
      <c r="I18" s="2">
        <v>-111.26</v>
      </c>
      <c r="J18" s="2">
        <v>-111.26</v>
      </c>
      <c r="K18" s="8">
        <f t="shared" si="9"/>
        <v>0</v>
      </c>
      <c r="L18" s="2">
        <v>-107.67</v>
      </c>
      <c r="M18" s="2">
        <v>-107.67</v>
      </c>
      <c r="N18" s="11">
        <f t="shared" si="10"/>
        <v>0</v>
      </c>
      <c r="O18" s="2">
        <v>-111.26</v>
      </c>
      <c r="P18" s="2">
        <v>-111.26</v>
      </c>
      <c r="Q18" s="8">
        <f t="shared" si="0"/>
        <v>0</v>
      </c>
      <c r="R18" s="2">
        <v>-107.67</v>
      </c>
      <c r="S18" s="2">
        <v>-107.67</v>
      </c>
      <c r="T18" s="11">
        <f t="shared" si="1"/>
        <v>0</v>
      </c>
      <c r="U18" s="2">
        <v>-111.26</v>
      </c>
      <c r="V18" s="2">
        <v>-111.26</v>
      </c>
      <c r="W18" s="11">
        <f t="shared" si="11"/>
        <v>0</v>
      </c>
      <c r="X18" s="10"/>
      <c r="Y18" s="2">
        <v>-112.62</v>
      </c>
      <c r="Z18" s="2">
        <v>-112.62</v>
      </c>
      <c r="AA18" s="11">
        <f t="shared" si="2"/>
        <v>0</v>
      </c>
      <c r="AB18" s="2">
        <v>-107.67</v>
      </c>
      <c r="AC18" s="2">
        <v>-107.67</v>
      </c>
      <c r="AD18" s="11">
        <f t="shared" si="3"/>
        <v>0</v>
      </c>
      <c r="AE18" s="2">
        <v>-111.26</v>
      </c>
      <c r="AF18" s="2">
        <v>-111.26</v>
      </c>
      <c r="AG18" s="11">
        <f t="shared" si="4"/>
        <v>0</v>
      </c>
      <c r="AH18" s="2">
        <v>-107.67</v>
      </c>
      <c r="AI18" s="2">
        <v>-107.67</v>
      </c>
      <c r="AJ18" s="8">
        <f t="shared" si="5"/>
        <v>0</v>
      </c>
      <c r="AK18" s="2">
        <v>-109.07</v>
      </c>
      <c r="AL18" s="2">
        <v>-109.07</v>
      </c>
      <c r="AM18" s="10">
        <f t="shared" si="12"/>
        <v>0</v>
      </c>
      <c r="AN18" s="10"/>
      <c r="AO18" s="2">
        <v>-1306.6099999999999</v>
      </c>
      <c r="AP18" s="2">
        <v>-1306.6099999999999</v>
      </c>
      <c r="AQ18" s="10">
        <f t="shared" si="6"/>
        <v>0</v>
      </c>
    </row>
    <row r="19" spans="1:43" x14ac:dyDescent="0.2">
      <c r="A19" s="4"/>
      <c r="E19" s="8">
        <f t="shared" si="7"/>
        <v>0</v>
      </c>
      <c r="H19" s="8"/>
      <c r="K19" s="8"/>
      <c r="N19" s="11"/>
      <c r="Q19" s="8"/>
      <c r="T19" s="11"/>
      <c r="W19" s="11"/>
      <c r="X19" s="10"/>
      <c r="AA19" s="11"/>
      <c r="AD19" s="11"/>
      <c r="AG19" s="11"/>
      <c r="AH19" s="8"/>
      <c r="AJ19" s="8"/>
      <c r="AM19" s="10"/>
      <c r="AN19" s="10"/>
      <c r="AQ19" s="10"/>
    </row>
    <row r="20" spans="1:43" x14ac:dyDescent="0.2">
      <c r="A20" s="4">
        <v>623990</v>
      </c>
      <c r="B20" t="s">
        <v>42</v>
      </c>
      <c r="C20" s="2">
        <v>1029.5899999999999</v>
      </c>
      <c r="D20" s="2">
        <v>1029.5899999999999</v>
      </c>
      <c r="E20" s="8">
        <f t="shared" si="7"/>
        <v>0</v>
      </c>
      <c r="F20" s="2">
        <v>1029.5899999999999</v>
      </c>
      <c r="G20" s="2">
        <v>1029.5899999999999</v>
      </c>
      <c r="H20" s="8">
        <f t="shared" si="8"/>
        <v>0</v>
      </c>
      <c r="I20" s="2">
        <v>1333.63</v>
      </c>
      <c r="J20" s="2">
        <v>1333.63</v>
      </c>
      <c r="K20" s="8">
        <f t="shared" si="9"/>
        <v>0</v>
      </c>
      <c r="L20" s="2">
        <v>1160.8800000000001</v>
      </c>
      <c r="M20" s="2">
        <v>1160.8800000000001</v>
      </c>
      <c r="N20" s="11">
        <f t="shared" si="10"/>
        <v>0</v>
      </c>
      <c r="O20" s="2">
        <v>1153.97</v>
      </c>
      <c r="P20" s="2">
        <v>1153.97</v>
      </c>
      <c r="Q20" s="8">
        <f t="shared" si="0"/>
        <v>0</v>
      </c>
      <c r="R20" s="2">
        <v>1112.51</v>
      </c>
      <c r="S20" s="2">
        <v>1112.51</v>
      </c>
      <c r="T20" s="11">
        <f t="shared" si="1"/>
        <v>0</v>
      </c>
      <c r="U20" s="2">
        <f>1188.51-27.64</f>
        <v>1160.8699999999999</v>
      </c>
      <c r="V20" s="2">
        <v>1153.97</v>
      </c>
      <c r="W20" s="27">
        <f t="shared" si="11"/>
        <v>6.8999999999998636</v>
      </c>
      <c r="X20" s="15"/>
      <c r="Y20" s="2">
        <v>1091.78</v>
      </c>
      <c r="Z20" s="2">
        <v>1098.69</v>
      </c>
      <c r="AA20" s="27">
        <f t="shared" si="2"/>
        <v>-6.9100000000000819</v>
      </c>
      <c r="AB20" s="2">
        <v>1084.8699999999999</v>
      </c>
      <c r="AC20" s="2">
        <v>1084.8699999999999</v>
      </c>
      <c r="AD20" s="11">
        <f t="shared" si="3"/>
        <v>0</v>
      </c>
      <c r="AE20" s="2">
        <f>1428.35-131.29</f>
        <v>1297.06</v>
      </c>
      <c r="AF20" s="2">
        <v>1292.17</v>
      </c>
      <c r="AG20" s="11">
        <f t="shared" si="4"/>
        <v>4.8899999999998727</v>
      </c>
      <c r="AH20" s="2">
        <f>1050.32-20.73</f>
        <v>1029.5899999999999</v>
      </c>
      <c r="AI20" s="2">
        <v>1029.5899999999999</v>
      </c>
      <c r="AJ20" s="8">
        <f t="shared" si="5"/>
        <v>0</v>
      </c>
      <c r="AK20" s="2">
        <f>1506.38-711.73</f>
        <v>794.65000000000009</v>
      </c>
      <c r="AL20" s="2">
        <v>746.28</v>
      </c>
      <c r="AM20" s="10">
        <f t="shared" si="12"/>
        <v>48.370000000000118</v>
      </c>
      <c r="AN20" s="10"/>
      <c r="AO20" s="2">
        <v>13278.99</v>
      </c>
      <c r="AP20" s="2">
        <v>13225.74</v>
      </c>
      <c r="AQ20" s="10">
        <f t="shared" si="6"/>
        <v>53.25</v>
      </c>
    </row>
    <row r="21" spans="1:43" x14ac:dyDescent="0.2">
      <c r="A21" s="4"/>
      <c r="E21" s="8"/>
      <c r="H21" s="8"/>
      <c r="K21" s="8"/>
      <c r="N21" s="11"/>
      <c r="Q21" s="8"/>
      <c r="T21" s="11"/>
      <c r="W21" s="11"/>
      <c r="X21" s="10"/>
      <c r="AA21" s="11"/>
      <c r="AD21" s="11"/>
      <c r="AG21" s="11"/>
      <c r="AJ21" s="8"/>
      <c r="AM21" s="10"/>
      <c r="AN21" s="10"/>
      <c r="AQ21" s="10"/>
    </row>
    <row r="22" spans="1:43" x14ac:dyDescent="0.2">
      <c r="A22" s="4"/>
      <c r="E22" s="8"/>
      <c r="H22" s="8"/>
      <c r="K22" s="8"/>
      <c r="N22" s="11"/>
      <c r="Q22" s="8"/>
      <c r="T22" s="11"/>
      <c r="W22" s="11"/>
      <c r="X22" s="10"/>
      <c r="AA22" s="11"/>
      <c r="AD22" s="11"/>
      <c r="AG22" s="11"/>
      <c r="AJ22" s="8"/>
      <c r="AM22" s="13"/>
      <c r="AN22" s="13"/>
      <c r="AQ22" s="10"/>
    </row>
    <row r="23" spans="1:43" x14ac:dyDescent="0.2">
      <c r="A23" s="4"/>
      <c r="E23" s="8"/>
      <c r="H23" s="8"/>
      <c r="K23" s="8"/>
      <c r="N23" s="11"/>
      <c r="Q23" s="8"/>
      <c r="T23" s="11"/>
      <c r="W23" s="11"/>
      <c r="X23" s="10"/>
      <c r="AA23" s="11"/>
      <c r="AD23" s="11"/>
      <c r="AG23" s="11"/>
      <c r="AJ23" s="8"/>
      <c r="AM23" s="13"/>
      <c r="AN23" s="13"/>
      <c r="AQ23" s="10"/>
    </row>
    <row r="24" spans="1:43" x14ac:dyDescent="0.2">
      <c r="A24" s="5"/>
      <c r="B24" s="6"/>
      <c r="C24" s="7"/>
      <c r="D24" s="7"/>
      <c r="E24" s="9"/>
      <c r="F24" s="7"/>
      <c r="G24" s="7"/>
      <c r="H24" s="9"/>
      <c r="I24" s="7"/>
      <c r="J24" s="7"/>
      <c r="K24" s="9"/>
      <c r="L24" s="7"/>
      <c r="M24" s="7"/>
      <c r="N24" s="12"/>
      <c r="O24" s="7"/>
      <c r="P24" s="7"/>
      <c r="Q24" s="8"/>
      <c r="T24" s="11"/>
      <c r="W24" s="11"/>
      <c r="X24" s="10"/>
      <c r="AA24" s="11"/>
      <c r="AD24" s="11"/>
      <c r="AG24" s="11"/>
      <c r="AJ24" s="8"/>
      <c r="AM24" s="13"/>
      <c r="AN24" s="13"/>
      <c r="AQ24" s="10"/>
    </row>
    <row r="25" spans="1:43" x14ac:dyDescent="0.2">
      <c r="A25" s="4">
        <v>454000</v>
      </c>
      <c r="C25" s="2">
        <f>256.84+7659.91</f>
        <v>7916.75</v>
      </c>
      <c r="D25" s="2">
        <f>2941.46+161.52+4813.77</f>
        <v>7916.75</v>
      </c>
      <c r="E25" s="8">
        <f>C25-D25</f>
        <v>0</v>
      </c>
      <c r="F25" s="2">
        <f>341.47+9267.46</f>
        <v>9608.9299999999985</v>
      </c>
      <c r="G25" s="2">
        <f>3539.14+188.89+5880.9</f>
        <v>9608.93</v>
      </c>
      <c r="H25" s="8">
        <f t="shared" si="8"/>
        <v>0</v>
      </c>
      <c r="I25" s="2">
        <f>9477.99+222.5</f>
        <v>9700.49</v>
      </c>
      <c r="J25" s="2">
        <f>4054.69+144.56+6581.67</f>
        <v>10780.92</v>
      </c>
      <c r="K25" s="8">
        <f>I25-J25</f>
        <v>-1080.4300000000003</v>
      </c>
      <c r="L25" s="2">
        <f>11163.07+272.23</f>
        <v>11435.3</v>
      </c>
      <c r="M25" s="2">
        <f>4227.84+394.51+214.62+6626.88</f>
        <v>11463.85</v>
      </c>
      <c r="N25" s="11">
        <f>L25-M25</f>
        <v>-28.550000000001091</v>
      </c>
      <c r="O25" s="2">
        <f>9997.2+324.23</f>
        <v>10321.43</v>
      </c>
      <c r="P25" s="2">
        <f>3759.52+10.47+205.32+6346.12</f>
        <v>10321.43</v>
      </c>
      <c r="Q25" s="8">
        <f t="shared" si="0"/>
        <v>0</v>
      </c>
      <c r="R25" s="2">
        <f>10648.94+165.38+58.34</f>
        <v>10872.66</v>
      </c>
      <c r="S25" s="2">
        <f>3300.51+2116.88+166.25+5289.02</f>
        <v>10872.66</v>
      </c>
      <c r="T25" s="11">
        <f t="shared" si="1"/>
        <v>0</v>
      </c>
      <c r="U25" s="14">
        <f>11908.21+262.2-824.06+863.05</f>
        <v>12209.4</v>
      </c>
      <c r="V25" s="2">
        <f>3753.84+353.5+205.4+7012.75</f>
        <v>11325.49</v>
      </c>
      <c r="W25" s="11">
        <f t="shared" si="11"/>
        <v>883.90999999999985</v>
      </c>
      <c r="X25" s="10"/>
      <c r="Y25" s="2">
        <f>9260.2+300.47</f>
        <v>9560.67</v>
      </c>
      <c r="Z25" s="2">
        <f>205.4+6011.33+3588.27+251.25</f>
        <v>10056.25</v>
      </c>
      <c r="AA25" s="11">
        <f t="shared" si="2"/>
        <v>-495.57999999999993</v>
      </c>
      <c r="AB25" s="2">
        <f>8542.15+102.61</f>
        <v>8644.76</v>
      </c>
      <c r="AC25" s="2">
        <f>3593.5+38.49+220.75+4703.6</f>
        <v>8556.34</v>
      </c>
      <c r="AD25" s="11">
        <f t="shared" si="3"/>
        <v>88.420000000000073</v>
      </c>
      <c r="AE25" s="2">
        <f>8535.64+348.36+2785.31</f>
        <v>11669.31</v>
      </c>
      <c r="AF25" s="2">
        <f>4042.7+464.78+248.7+7039.22</f>
        <v>11795.4</v>
      </c>
      <c r="AG25" s="11">
        <f t="shared" si="4"/>
        <v>-126.09000000000015</v>
      </c>
      <c r="AH25" s="2">
        <f>8933.34+1199.02+322.47-41.59</f>
        <v>10413.24</v>
      </c>
      <c r="AI25" s="2">
        <f>3639.32+409.63+202.17+6162.12</f>
        <v>10413.24</v>
      </c>
      <c r="AJ25" s="8">
        <f t="shared" si="5"/>
        <v>0</v>
      </c>
      <c r="AK25" s="2">
        <f>6003.51+354.59+8430.2+211.77+105.84+126.09+5369.42+863.05</f>
        <v>21464.47</v>
      </c>
      <c r="AL25" s="2">
        <f>7378.58+454.38+12180.4</f>
        <v>20013.36</v>
      </c>
      <c r="AM25" s="10">
        <f>AK25-AL25</f>
        <v>1451.1100000000006</v>
      </c>
      <c r="AN25" s="10"/>
      <c r="AO25" s="16"/>
      <c r="AP25" s="2">
        <f>47819.37+4498.89+78647.78+1080.43</f>
        <v>132046.47</v>
      </c>
      <c r="AQ25" s="10"/>
    </row>
    <row r="26" spans="1:43" x14ac:dyDescent="0.2">
      <c r="A26" s="4"/>
      <c r="E26" s="8"/>
      <c r="H26" s="8"/>
      <c r="J26" s="15">
        <v>-1080.43</v>
      </c>
      <c r="K26" s="8">
        <f t="shared" ref="K26:K27" si="13">I26-J26</f>
        <v>1080.43</v>
      </c>
      <c r="N26" s="11"/>
      <c r="Q26" s="8"/>
      <c r="T26" s="11"/>
      <c r="U26" s="15">
        <v>1080.43</v>
      </c>
      <c r="W26" s="27">
        <f t="shared" si="11"/>
        <v>1080.43</v>
      </c>
      <c r="X26" s="10"/>
      <c r="AA26" s="11"/>
      <c r="AD26" s="11">
        <f t="shared" si="3"/>
        <v>0</v>
      </c>
      <c r="AG26" s="11"/>
      <c r="AJ26" s="8"/>
      <c r="AM26" s="13"/>
      <c r="AN26" s="13"/>
      <c r="AQ26" s="10"/>
    </row>
    <row r="27" spans="1:43" x14ac:dyDescent="0.2">
      <c r="A27" s="4">
        <v>453000</v>
      </c>
      <c r="C27" s="2">
        <v>4594.49</v>
      </c>
      <c r="D27" s="2">
        <v>4594.49</v>
      </c>
      <c r="E27" s="8">
        <f>C27-D27</f>
        <v>0</v>
      </c>
      <c r="F27" s="2">
        <f>5204.84+44</f>
        <v>5248.84</v>
      </c>
      <c r="G27" s="2">
        <v>5248.84</v>
      </c>
      <c r="H27" s="8">
        <f t="shared" si="8"/>
        <v>0</v>
      </c>
      <c r="I27" s="2">
        <f>5917.56+44</f>
        <v>5961.56</v>
      </c>
      <c r="J27" s="2">
        <f>5961.56</f>
        <v>5961.56</v>
      </c>
      <c r="K27" s="8">
        <f t="shared" si="13"/>
        <v>0</v>
      </c>
      <c r="L27" s="2">
        <f>8717.81+44</f>
        <v>8761.81</v>
      </c>
      <c r="M27" s="2">
        <v>8763.06</v>
      </c>
      <c r="N27" s="11">
        <f t="shared" ref="N27" si="14">L27-M27</f>
        <v>-1.25</v>
      </c>
      <c r="O27" s="2">
        <f>5516.08+44</f>
        <v>5560.08</v>
      </c>
      <c r="P27" s="2">
        <v>5560.08</v>
      </c>
      <c r="Q27" s="8">
        <f t="shared" si="0"/>
        <v>0</v>
      </c>
      <c r="R27" s="2">
        <f>10263.6+44</f>
        <v>10307.6</v>
      </c>
      <c r="S27" s="2">
        <v>10307.6</v>
      </c>
      <c r="T27" s="11">
        <f t="shared" si="1"/>
        <v>0</v>
      </c>
      <c r="U27" s="2">
        <f>6953.89+44-484.33</f>
        <v>6513.56</v>
      </c>
      <c r="V27" s="2">
        <v>6513.56</v>
      </c>
      <c r="W27" s="11">
        <f t="shared" si="11"/>
        <v>0</v>
      </c>
      <c r="X27" s="10"/>
      <c r="Y27" s="2">
        <f>4630.94+44</f>
        <v>4674.9399999999996</v>
      </c>
      <c r="Z27" s="2">
        <v>5157.53</v>
      </c>
      <c r="AA27" s="28">
        <f t="shared" si="2"/>
        <v>-482.59000000000015</v>
      </c>
      <c r="AB27" s="2">
        <f>4759.23+44</f>
        <v>4803.2299999999996</v>
      </c>
      <c r="AC27" s="2">
        <v>4848.46</v>
      </c>
      <c r="AD27" s="11">
        <f t="shared" si="3"/>
        <v>-45.230000000000473</v>
      </c>
      <c r="AE27" s="2">
        <f>44+2459.4-7.23+4486.74</f>
        <v>6982.91</v>
      </c>
      <c r="AF27" s="2">
        <v>7097.46</v>
      </c>
      <c r="AG27" s="11">
        <f t="shared" si="4"/>
        <v>-114.55000000000018</v>
      </c>
      <c r="AH27" s="2">
        <f>4764.35+44-16.01</f>
        <v>4792.34</v>
      </c>
      <c r="AI27" s="2">
        <v>4792.34</v>
      </c>
      <c r="AJ27" s="8">
        <f t="shared" si="5"/>
        <v>0</v>
      </c>
      <c r="AK27" s="2">
        <f>7707.64+186.88+4352.58+44+107.32+2210.5+482.59</f>
        <v>15091.51</v>
      </c>
      <c r="AL27" s="2" t="s">
        <v>39</v>
      </c>
      <c r="AM27" s="10" t="e">
        <f>AK27-AL27</f>
        <v>#VALUE!</v>
      </c>
      <c r="AN27" s="10"/>
      <c r="AO27" s="16"/>
      <c r="AP27" s="2">
        <v>83346.58</v>
      </c>
      <c r="AQ27" s="10">
        <f t="shared" si="6"/>
        <v>-83346.58</v>
      </c>
    </row>
    <row r="28" spans="1:43" x14ac:dyDescent="0.2">
      <c r="A28" s="4"/>
      <c r="E28" s="8"/>
      <c r="H28" s="8"/>
      <c r="K28" s="8"/>
      <c r="N28" s="11"/>
      <c r="Q28" s="8"/>
      <c r="T28" s="11"/>
      <c r="W28" s="11"/>
      <c r="X28" s="10"/>
      <c r="AA28" s="11" t="s">
        <v>86</v>
      </c>
      <c r="AD28" s="11"/>
      <c r="AF28" s="2" t="s">
        <v>39</v>
      </c>
      <c r="AG28" s="11"/>
      <c r="AJ28" s="8"/>
      <c r="AM28" s="13"/>
      <c r="AN28" s="13"/>
      <c r="AQ28" s="10"/>
    </row>
    <row r="29" spans="1:43" x14ac:dyDescent="0.2">
      <c r="A29" s="4"/>
      <c r="E29" s="8"/>
      <c r="H29" s="8"/>
      <c r="K29" s="8"/>
      <c r="N29" s="11"/>
      <c r="Q29" s="8"/>
      <c r="T29" s="11"/>
      <c r="W29" s="11"/>
      <c r="X29" s="10"/>
      <c r="AA29" s="11"/>
      <c r="AD29" s="11"/>
      <c r="AG29" s="11"/>
      <c r="AJ29" s="8"/>
      <c r="AM29" s="13"/>
      <c r="AN29" s="13"/>
      <c r="AQ29" s="10"/>
    </row>
    <row r="30" spans="1:43" x14ac:dyDescent="0.2">
      <c r="A30" s="4"/>
      <c r="E30" s="8"/>
      <c r="H30" s="8"/>
      <c r="K30" s="8"/>
      <c r="N30" s="11"/>
      <c r="Q30" s="8"/>
      <c r="T30" s="11"/>
      <c r="W30" s="11"/>
      <c r="X30" s="10"/>
      <c r="AA30" s="11"/>
      <c r="AD30" s="11"/>
      <c r="AG30" s="11"/>
      <c r="AJ30" s="8"/>
      <c r="AM30" s="13"/>
      <c r="AN30" s="13"/>
      <c r="AQ30" s="10"/>
    </row>
    <row r="31" spans="1:43" x14ac:dyDescent="0.2">
      <c r="A31" s="4"/>
      <c r="E31" s="8"/>
      <c r="H31" s="8"/>
      <c r="K31" s="8"/>
      <c r="N31" s="11"/>
      <c r="Q31" s="8"/>
      <c r="T31" s="11"/>
      <c r="W31" s="11"/>
      <c r="X31" s="10"/>
      <c r="AA31" s="11"/>
      <c r="AD31" s="11"/>
      <c r="AG31" s="11"/>
      <c r="AJ31" s="8"/>
      <c r="AM31" s="13"/>
      <c r="AN31" s="13"/>
      <c r="AQ31" s="10"/>
    </row>
    <row r="32" spans="1:43" x14ac:dyDescent="0.2">
      <c r="A32" s="5"/>
      <c r="B32" s="6"/>
      <c r="C32" s="7"/>
      <c r="D32" s="7"/>
      <c r="E32" s="9"/>
      <c r="F32" s="7"/>
      <c r="G32" s="7"/>
      <c r="H32" s="9"/>
      <c r="I32" s="7"/>
      <c r="J32" s="7"/>
      <c r="K32" s="9"/>
      <c r="L32" s="7"/>
      <c r="M32" s="7"/>
      <c r="N32" s="12"/>
      <c r="O32" s="7"/>
      <c r="P32" s="7"/>
      <c r="Q32" s="8"/>
      <c r="T32" s="11"/>
      <c r="W32" s="11"/>
      <c r="X32" s="10"/>
      <c r="AA32" s="11"/>
      <c r="AD32" s="11"/>
      <c r="AG32" s="11"/>
      <c r="AJ32" s="8"/>
      <c r="AM32" s="13"/>
      <c r="AN32" s="13"/>
      <c r="AQ32" s="10"/>
    </row>
    <row r="33" spans="1:43" x14ac:dyDescent="0.2">
      <c r="A33" s="4"/>
      <c r="E33" s="8"/>
      <c r="H33" s="8"/>
      <c r="K33" s="8"/>
      <c r="N33" s="11"/>
      <c r="Q33" s="8"/>
      <c r="T33" s="11"/>
      <c r="W33" s="11"/>
      <c r="X33" s="10"/>
      <c r="AA33" s="11"/>
      <c r="AD33" s="11"/>
      <c r="AG33" s="11"/>
      <c r="AJ33" s="8"/>
      <c r="AM33" s="13"/>
      <c r="AN33" s="13"/>
      <c r="AQ33" s="10"/>
    </row>
    <row r="34" spans="1:43" x14ac:dyDescent="0.2">
      <c r="A34" s="4">
        <v>621000</v>
      </c>
      <c r="C34" s="2">
        <v>4813.7700000000004</v>
      </c>
      <c r="D34" s="2">
        <v>4813.7700000000004</v>
      </c>
      <c r="E34" s="8">
        <f>C34-D34</f>
        <v>0</v>
      </c>
      <c r="F34" s="2">
        <v>5880.9</v>
      </c>
      <c r="G34" s="2">
        <v>5880.9</v>
      </c>
      <c r="H34" s="8">
        <f t="shared" si="8"/>
        <v>0</v>
      </c>
      <c r="I34" s="2">
        <v>5501.24</v>
      </c>
      <c r="J34" s="2">
        <v>5501.24</v>
      </c>
      <c r="K34" s="8">
        <f>I34-J34</f>
        <v>0</v>
      </c>
      <c r="L34" s="2">
        <v>6607.62</v>
      </c>
      <c r="M34" s="2">
        <v>6626.88</v>
      </c>
      <c r="N34" s="11">
        <f>L34-M34</f>
        <v>-19.260000000000218</v>
      </c>
      <c r="O34" s="2">
        <v>6346.12</v>
      </c>
      <c r="P34" s="2">
        <v>6346.12</v>
      </c>
      <c r="Q34" s="8">
        <f t="shared" si="0"/>
        <v>0</v>
      </c>
      <c r="R34" s="2">
        <v>5230.68</v>
      </c>
      <c r="S34" s="2">
        <v>5289.02</v>
      </c>
      <c r="T34" s="11">
        <f t="shared" si="1"/>
        <v>-58.340000000000146</v>
      </c>
      <c r="U34" s="2">
        <f>8424.76-807.97</f>
        <v>7616.79</v>
      </c>
      <c r="V34" s="2">
        <f>205.4+7012.75</f>
        <v>7218.15</v>
      </c>
      <c r="W34" s="11">
        <f t="shared" si="11"/>
        <v>398.64000000000033</v>
      </c>
      <c r="X34" s="10"/>
      <c r="Y34" s="2">
        <f>5863.63-378.74</f>
        <v>5484.89</v>
      </c>
      <c r="Z34" s="2">
        <v>6011.33</v>
      </c>
      <c r="AA34" s="11">
        <f t="shared" si="2"/>
        <v>-526.4399999999996</v>
      </c>
      <c r="AB34" s="2">
        <f>4887.89-184.29</f>
        <v>4703.6000000000004</v>
      </c>
      <c r="AC34" s="2">
        <v>4703.6000000000004</v>
      </c>
      <c r="AD34" s="11">
        <f t="shared" si="3"/>
        <v>0</v>
      </c>
      <c r="AE34" s="2">
        <f>7494.2-523.41</f>
        <v>6970.79</v>
      </c>
      <c r="AF34" s="2">
        <v>7039.22</v>
      </c>
      <c r="AG34" s="11">
        <f t="shared" si="4"/>
        <v>-68.430000000000291</v>
      </c>
      <c r="AH34" s="2">
        <f>6536.66-374.54</f>
        <v>6162.12</v>
      </c>
      <c r="AI34" s="2">
        <v>6162.12</v>
      </c>
      <c r="AJ34" s="8">
        <f t="shared" si="5"/>
        <v>0</v>
      </c>
      <c r="AK34" s="2">
        <f>17233.44-4576.94</f>
        <v>12656.5</v>
      </c>
      <c r="AL34" s="2">
        <v>12180.4</v>
      </c>
      <c r="AM34" s="10">
        <f>AK34-AL34</f>
        <v>476.10000000000036</v>
      </c>
      <c r="AN34" s="10"/>
      <c r="AO34" s="2">
        <f>C34+F34+I34+L34+O34+R34+U34+Y34+AB34+AE34+AH34+AK34</f>
        <v>77975.02</v>
      </c>
      <c r="AP34" s="32" t="s">
        <v>64</v>
      </c>
      <c r="AQ34" s="10" t="e">
        <f t="shared" si="6"/>
        <v>#VALUE!</v>
      </c>
    </row>
    <row r="35" spans="1:43" x14ac:dyDescent="0.2">
      <c r="A35" t="s">
        <v>49</v>
      </c>
      <c r="E35" s="8"/>
      <c r="H35" s="8"/>
      <c r="J35" s="15">
        <v>1080.43</v>
      </c>
      <c r="K35" s="8"/>
      <c r="N35" s="11"/>
      <c r="Q35" s="8"/>
      <c r="T35" s="8"/>
      <c r="V35" s="16">
        <v>1080.43</v>
      </c>
      <c r="W35" s="17"/>
      <c r="X35" s="13"/>
      <c r="AA35" s="8"/>
      <c r="AD35" s="11"/>
      <c r="AG35" s="8"/>
      <c r="AJ35" s="8"/>
      <c r="AO35" s="2">
        <v>1080.43</v>
      </c>
      <c r="AQ35" s="10">
        <f t="shared" si="6"/>
        <v>1080.43</v>
      </c>
    </row>
    <row r="36" spans="1:43" x14ac:dyDescent="0.2">
      <c r="J36" s="2">
        <f>SUM(J34:J35)</f>
        <v>6581.67</v>
      </c>
      <c r="W36" s="17"/>
      <c r="X36" s="13"/>
      <c r="AA36" s="8"/>
      <c r="AD36" s="8"/>
      <c r="AG36" s="8"/>
      <c r="AJ36" s="8"/>
      <c r="AQ36" s="10"/>
    </row>
    <row r="37" spans="1:43" x14ac:dyDescent="0.2">
      <c r="A37">
        <v>621100</v>
      </c>
      <c r="B37" t="s">
        <v>58</v>
      </c>
      <c r="U37" s="2">
        <v>1080.43</v>
      </c>
      <c r="W37" s="18"/>
      <c r="AA37" s="8"/>
      <c r="AD37" s="8"/>
      <c r="AG37" s="8"/>
      <c r="AO37" s="2">
        <f>77975.02+1080.43</f>
        <v>79055.45</v>
      </c>
      <c r="AP37" s="2">
        <v>78647.78</v>
      </c>
      <c r="AQ37" s="2">
        <f>AO37-AP37</f>
        <v>407.66999999999825</v>
      </c>
    </row>
    <row r="38" spans="1:43" x14ac:dyDescent="0.2">
      <c r="A38" s="13" t="s">
        <v>51</v>
      </c>
    </row>
    <row r="39" spans="1:43" x14ac:dyDescent="0.2">
      <c r="A39" s="13" t="s">
        <v>53</v>
      </c>
    </row>
    <row r="40" spans="1:43" x14ac:dyDescent="0.2">
      <c r="A40" s="13" t="s">
        <v>52</v>
      </c>
    </row>
    <row r="41" spans="1:43" x14ac:dyDescent="0.2">
      <c r="A41" s="13" t="s">
        <v>56</v>
      </c>
    </row>
    <row r="42" spans="1:43" x14ac:dyDescent="0.2">
      <c r="A42" s="13" t="s">
        <v>94</v>
      </c>
    </row>
  </sheetData>
  <pageMargins left="0.7" right="0.7" top="0.75" bottom="0.75" header="0.3" footer="0.3"/>
  <pageSetup paperSize="9" scale="3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0C1D-F9EB-48BB-A82E-69C23708AAAF}">
  <dimension ref="A1:E23"/>
  <sheetViews>
    <sheetView topLeftCell="A15" zoomScaleNormal="100" workbookViewId="0">
      <selection activeCell="A31" sqref="A31"/>
    </sheetView>
  </sheetViews>
  <sheetFormatPr defaultColWidth="10.76171875" defaultRowHeight="15" x14ac:dyDescent="0.2"/>
  <cols>
    <col min="1" max="1" width="9.81640625" customWidth="1"/>
    <col min="2" max="2" width="4.5703125" bestFit="1" customWidth="1"/>
    <col min="3" max="5" width="11.8359375" style="2" customWidth="1"/>
  </cols>
  <sheetData>
    <row r="1" spans="1:5" x14ac:dyDescent="0.2">
      <c r="A1" s="4"/>
    </row>
    <row r="2" spans="1:5" x14ac:dyDescent="0.2">
      <c r="A2" s="4"/>
    </row>
    <row r="3" spans="1:5" x14ac:dyDescent="0.2">
      <c r="A3" s="4"/>
      <c r="C3" s="2" t="s">
        <v>608</v>
      </c>
    </row>
    <row r="4" spans="1:5" x14ac:dyDescent="0.2">
      <c r="A4" s="4"/>
      <c r="C4" s="2" t="s">
        <v>40</v>
      </c>
      <c r="D4" s="3">
        <v>325</v>
      </c>
      <c r="E4" s="2" t="s">
        <v>43</v>
      </c>
    </row>
    <row r="5" spans="1:5" x14ac:dyDescent="0.2">
      <c r="A5" s="4"/>
    </row>
    <row r="6" spans="1:5" x14ac:dyDescent="0.2">
      <c r="A6" s="4" t="s">
        <v>93</v>
      </c>
      <c r="B6" t="s">
        <v>41</v>
      </c>
    </row>
    <row r="7" spans="1:5" x14ac:dyDescent="0.2">
      <c r="A7" s="4">
        <v>620300</v>
      </c>
      <c r="C7" s="2">
        <v>9098.17</v>
      </c>
    </row>
    <row r="8" spans="1:5" x14ac:dyDescent="0.2">
      <c r="A8" s="4">
        <v>620200</v>
      </c>
      <c r="C8" s="2">
        <f>64.72+395306.82</f>
        <v>395371.54</v>
      </c>
    </row>
    <row r="9" spans="1:5" x14ac:dyDescent="0.2">
      <c r="A9" s="4"/>
    </row>
    <row r="10" spans="1:5" x14ac:dyDescent="0.2">
      <c r="A10" s="4"/>
    </row>
    <row r="11" spans="1:5" x14ac:dyDescent="0.2">
      <c r="A11" s="4">
        <v>620220</v>
      </c>
      <c r="C11" s="2">
        <v>23955.48</v>
      </c>
    </row>
    <row r="12" spans="1:5" x14ac:dyDescent="0.2">
      <c r="A12" s="4"/>
    </row>
    <row r="13" spans="1:5" x14ac:dyDescent="0.2">
      <c r="A13" s="4">
        <v>623920</v>
      </c>
      <c r="C13" s="2">
        <v>1340.02</v>
      </c>
    </row>
    <row r="14" spans="1:5" x14ac:dyDescent="0.2">
      <c r="A14" s="4"/>
      <c r="C14" s="3">
        <f>C7+C8+C11+C13</f>
        <v>429765.20999999996</v>
      </c>
      <c r="D14" s="3">
        <v>429765.22</v>
      </c>
      <c r="E14" s="2">
        <f>C14-D14</f>
        <v>-1.0000000009313226E-2</v>
      </c>
    </row>
    <row r="15" spans="1:5" x14ac:dyDescent="0.2">
      <c r="A15" s="4"/>
    </row>
    <row r="16" spans="1:5" x14ac:dyDescent="0.2">
      <c r="A16" s="4">
        <v>621100</v>
      </c>
      <c r="C16" s="2">
        <v>945.13</v>
      </c>
      <c r="D16" s="2">
        <v>945.13</v>
      </c>
    </row>
    <row r="17" spans="1:5" x14ac:dyDescent="0.2">
      <c r="A17" s="4"/>
    </row>
    <row r="18" spans="1:5" x14ac:dyDescent="0.2">
      <c r="A18" s="4">
        <v>621000</v>
      </c>
      <c r="C18" s="2">
        <f>77208.24-76.01</f>
        <v>77132.23000000001</v>
      </c>
      <c r="D18" s="2">
        <v>77132.23</v>
      </c>
      <c r="E18" s="72">
        <f>C18-D18</f>
        <v>0</v>
      </c>
    </row>
    <row r="19" spans="1:5" x14ac:dyDescent="0.2">
      <c r="A19" s="4"/>
    </row>
    <row r="20" spans="1:5" x14ac:dyDescent="0.2">
      <c r="A20" s="4">
        <v>623990</v>
      </c>
      <c r="B20" t="s">
        <v>42</v>
      </c>
      <c r="C20" s="2">
        <f>13550.51+76.01</f>
        <v>13626.52</v>
      </c>
      <c r="D20" s="2">
        <v>13598.88</v>
      </c>
      <c r="E20" s="7">
        <f>C20-D20</f>
        <v>27.640000000001237</v>
      </c>
    </row>
    <row r="21" spans="1:5" x14ac:dyDescent="0.2">
      <c r="A21" s="4">
        <v>623910</v>
      </c>
      <c r="B21" t="s">
        <v>609</v>
      </c>
      <c r="C21" s="2">
        <v>2209.0100000000002</v>
      </c>
      <c r="D21" s="2">
        <v>2242.41</v>
      </c>
      <c r="E21" s="7">
        <f>C21-D21</f>
        <v>-33.399999999999636</v>
      </c>
    </row>
    <row r="22" spans="1:5" x14ac:dyDescent="0.2">
      <c r="A22" s="4"/>
    </row>
    <row r="23" spans="1:5" x14ac:dyDescent="0.2">
      <c r="A23" s="4">
        <v>623900</v>
      </c>
      <c r="C23" s="2">
        <v>4545.72</v>
      </c>
      <c r="D23" s="2">
        <f>3004.76+164.16+682.58+694.22</f>
        <v>4545.72</v>
      </c>
      <c r="E23" s="2">
        <f>C23-D23</f>
        <v>0</v>
      </c>
    </row>
  </sheetData>
  <pageMargins left="0.7" right="0.7" top="0.75" bottom="0.75" header="0.3" footer="0.3"/>
  <pageSetup paperSize="9" scale="4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zoomScaleNormal="100" workbookViewId="0">
      <selection activeCell="K28" sqref="K28"/>
    </sheetView>
  </sheetViews>
  <sheetFormatPr defaultColWidth="10.76171875" defaultRowHeight="15" x14ac:dyDescent="0.2"/>
  <sheetData>
    <row r="1" spans="1:6" x14ac:dyDescent="0.2">
      <c r="A1" t="s">
        <v>630</v>
      </c>
    </row>
    <row r="7" spans="1:6" x14ac:dyDescent="0.2">
      <c r="E7" t="s">
        <v>588</v>
      </c>
    </row>
    <row r="8" spans="1:6" x14ac:dyDescent="0.2">
      <c r="E8" t="s">
        <v>589</v>
      </c>
    </row>
    <row r="10" spans="1:6" x14ac:dyDescent="0.2">
      <c r="E10" t="s">
        <v>590</v>
      </c>
    </row>
    <row r="12" spans="1:6" x14ac:dyDescent="0.2">
      <c r="E12" s="118">
        <v>4000</v>
      </c>
      <c r="F12" t="s">
        <v>629</v>
      </c>
    </row>
    <row r="14" spans="1:6" x14ac:dyDescent="0.2">
      <c r="A14" t="s">
        <v>578</v>
      </c>
    </row>
    <row r="17" spans="1:5" x14ac:dyDescent="0.2">
      <c r="E17" t="s">
        <v>283</v>
      </c>
    </row>
    <row r="18" spans="1:5" x14ac:dyDescent="0.2">
      <c r="A18" t="s">
        <v>591</v>
      </c>
    </row>
    <row r="21" spans="1:5" x14ac:dyDescent="0.2">
      <c r="A21" t="s">
        <v>592</v>
      </c>
    </row>
    <row r="22" spans="1:5" x14ac:dyDescent="0.2">
      <c r="A22" t="s">
        <v>631</v>
      </c>
    </row>
    <row r="24" spans="1:5" x14ac:dyDescent="0.2">
      <c r="A24" t="s">
        <v>593</v>
      </c>
    </row>
    <row r="25" spans="1:5" x14ac:dyDescent="0.2">
      <c r="A25" t="s">
        <v>632</v>
      </c>
    </row>
    <row r="26" spans="1:5" x14ac:dyDescent="0.2">
      <c r="A26" t="s">
        <v>594</v>
      </c>
    </row>
    <row r="28" spans="1:5" x14ac:dyDescent="0.2">
      <c r="A28" t="s">
        <v>579</v>
      </c>
    </row>
    <row r="36" spans="1:1" x14ac:dyDescent="0.2">
      <c r="A36" t="s">
        <v>595</v>
      </c>
    </row>
    <row r="37" spans="1:1" x14ac:dyDescent="0.2">
      <c r="A37" t="s">
        <v>596</v>
      </c>
    </row>
    <row r="52" spans="1:1" x14ac:dyDescent="0.2">
      <c r="A52" t="s">
        <v>39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3E25-977E-49BD-AAA3-91CB98964207}">
  <dimension ref="A7:F58"/>
  <sheetViews>
    <sheetView topLeftCell="A4" zoomScaleNormal="100" workbookViewId="0">
      <selection activeCell="E18" sqref="E18"/>
    </sheetView>
  </sheetViews>
  <sheetFormatPr defaultColWidth="10.76171875" defaultRowHeight="15" x14ac:dyDescent="0.2"/>
  <cols>
    <col min="7" max="7" width="19.50390625" customWidth="1"/>
  </cols>
  <sheetData>
    <row r="7" spans="5:6" x14ac:dyDescent="0.2">
      <c r="E7" t="s">
        <v>633</v>
      </c>
    </row>
    <row r="8" spans="5:6" x14ac:dyDescent="0.2">
      <c r="E8" t="s">
        <v>634</v>
      </c>
    </row>
    <row r="10" spans="5:6" x14ac:dyDescent="0.2">
      <c r="E10" t="s">
        <v>635</v>
      </c>
    </row>
    <row r="12" spans="5:6" x14ac:dyDescent="0.2">
      <c r="E12" s="118">
        <v>4100</v>
      </c>
      <c r="F12" s="119" t="s">
        <v>636</v>
      </c>
    </row>
    <row r="17" spans="1:5" x14ac:dyDescent="0.2">
      <c r="E17" t="s">
        <v>283</v>
      </c>
    </row>
    <row r="18" spans="1:5" x14ac:dyDescent="0.2">
      <c r="A18" s="29" t="s">
        <v>644</v>
      </c>
    </row>
    <row r="21" spans="1:5" x14ac:dyDescent="0.2">
      <c r="A21" t="s">
        <v>637</v>
      </c>
    </row>
    <row r="22" spans="1:5" x14ac:dyDescent="0.2">
      <c r="A22" t="s">
        <v>638</v>
      </c>
    </row>
    <row r="23" spans="1:5" x14ac:dyDescent="0.2">
      <c r="A23" t="s">
        <v>639</v>
      </c>
    </row>
    <row r="24" spans="1:5" x14ac:dyDescent="0.2">
      <c r="A24" t="s">
        <v>640</v>
      </c>
    </row>
    <row r="25" spans="1:5" x14ac:dyDescent="0.2">
      <c r="A25" t="s">
        <v>641</v>
      </c>
    </row>
    <row r="30" spans="1:5" x14ac:dyDescent="0.2">
      <c r="A30" t="s">
        <v>643</v>
      </c>
    </row>
    <row r="31" spans="1:5" x14ac:dyDescent="0.2">
      <c r="A31" t="s">
        <v>645</v>
      </c>
    </row>
    <row r="42" spans="1:1" x14ac:dyDescent="0.2">
      <c r="A42" t="s">
        <v>642</v>
      </c>
    </row>
    <row r="43" spans="1:1" x14ac:dyDescent="0.2">
      <c r="A43" t="s">
        <v>596</v>
      </c>
    </row>
    <row r="58" spans="1:1" x14ac:dyDescent="0.2">
      <c r="A58" t="s">
        <v>39</v>
      </c>
    </row>
  </sheetData>
  <pageMargins left="0.7" right="0.7" top="0.75" bottom="0.75" header="0.3" footer="0.3"/>
  <pageSetup paperSize="9" scale="9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4B74-CFB7-4453-800D-0A24B5E4099F}">
  <dimension ref="A7:F58"/>
  <sheetViews>
    <sheetView topLeftCell="A4" zoomScaleNormal="100" workbookViewId="0">
      <selection activeCell="G29" sqref="G29"/>
    </sheetView>
  </sheetViews>
  <sheetFormatPr defaultColWidth="10.76171875" defaultRowHeight="15" x14ac:dyDescent="0.2"/>
  <cols>
    <col min="7" max="7" width="19.50390625" customWidth="1"/>
  </cols>
  <sheetData>
    <row r="7" spans="5:6" x14ac:dyDescent="0.2">
      <c r="E7" t="s">
        <v>633</v>
      </c>
    </row>
    <row r="8" spans="5:6" x14ac:dyDescent="0.2">
      <c r="E8" t="s">
        <v>634</v>
      </c>
    </row>
    <row r="10" spans="5:6" x14ac:dyDescent="0.2">
      <c r="E10" t="s">
        <v>635</v>
      </c>
    </row>
    <row r="12" spans="5:6" x14ac:dyDescent="0.2">
      <c r="E12" s="118">
        <v>4100</v>
      </c>
      <c r="F12" s="119" t="s">
        <v>636</v>
      </c>
    </row>
    <row r="17" spans="1:5" x14ac:dyDescent="0.2">
      <c r="E17" t="s">
        <v>283</v>
      </c>
    </row>
    <row r="18" spans="1:5" x14ac:dyDescent="0.2">
      <c r="A18" s="29" t="s">
        <v>684</v>
      </c>
    </row>
    <row r="21" spans="1:5" x14ac:dyDescent="0.2">
      <c r="A21" t="s">
        <v>637</v>
      </c>
    </row>
    <row r="22" spans="1:5" x14ac:dyDescent="0.2">
      <c r="A22" t="s">
        <v>638</v>
      </c>
    </row>
    <row r="23" spans="1:5" x14ac:dyDescent="0.2">
      <c r="A23" t="s">
        <v>639</v>
      </c>
    </row>
    <row r="24" spans="1:5" x14ac:dyDescent="0.2">
      <c r="A24" t="s">
        <v>640</v>
      </c>
    </row>
    <row r="25" spans="1:5" x14ac:dyDescent="0.2">
      <c r="A25" t="s">
        <v>641</v>
      </c>
    </row>
    <row r="30" spans="1:5" x14ac:dyDescent="0.2">
      <c r="A30" t="s">
        <v>643</v>
      </c>
    </row>
    <row r="31" spans="1:5" x14ac:dyDescent="0.2">
      <c r="A31" t="s">
        <v>685</v>
      </c>
    </row>
    <row r="42" spans="1:1" x14ac:dyDescent="0.2">
      <c r="A42" t="s">
        <v>642</v>
      </c>
    </row>
    <row r="43" spans="1:1" x14ac:dyDescent="0.2">
      <c r="A43" t="s">
        <v>596</v>
      </c>
    </row>
    <row r="58" spans="1:1" x14ac:dyDescent="0.2">
      <c r="A58" t="s">
        <v>39</v>
      </c>
    </row>
  </sheetData>
  <pageMargins left="0.7" right="0.7" top="0.75" bottom="0.75" header="0.3" footer="0.3"/>
  <pageSetup paperSize="9" scale="9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CA71-043D-4CE0-AFCB-F97798AC8998}">
  <dimension ref="A7:F59"/>
  <sheetViews>
    <sheetView zoomScaleNormal="100" workbookViewId="0">
      <selection activeCell="D33" sqref="D33"/>
    </sheetView>
  </sheetViews>
  <sheetFormatPr defaultColWidth="10.76171875" defaultRowHeight="15" x14ac:dyDescent="0.2"/>
  <cols>
    <col min="7" max="7" width="19.50390625" customWidth="1"/>
  </cols>
  <sheetData>
    <row r="7" spans="5:6" x14ac:dyDescent="0.2">
      <c r="E7" t="s">
        <v>633</v>
      </c>
    </row>
    <row r="8" spans="5:6" x14ac:dyDescent="0.2">
      <c r="E8" t="s">
        <v>634</v>
      </c>
    </row>
    <row r="10" spans="5:6" x14ac:dyDescent="0.2">
      <c r="E10" t="s">
        <v>635</v>
      </c>
    </row>
    <row r="12" spans="5:6" x14ac:dyDescent="0.2">
      <c r="E12" s="118">
        <v>4100</v>
      </c>
      <c r="F12" s="119" t="s">
        <v>636</v>
      </c>
    </row>
    <row r="17" spans="1:5" x14ac:dyDescent="0.2">
      <c r="E17" t="s">
        <v>283</v>
      </c>
    </row>
    <row r="18" spans="1:5" x14ac:dyDescent="0.2">
      <c r="A18" s="29" t="s">
        <v>646</v>
      </c>
    </row>
    <row r="21" spans="1:5" x14ac:dyDescent="0.2">
      <c r="A21" t="s">
        <v>637</v>
      </c>
    </row>
    <row r="22" spans="1:5" x14ac:dyDescent="0.2">
      <c r="A22" t="s">
        <v>647</v>
      </c>
    </row>
    <row r="23" spans="1:5" x14ac:dyDescent="0.2">
      <c r="A23" t="s">
        <v>648</v>
      </c>
    </row>
    <row r="24" spans="1:5" x14ac:dyDescent="0.2">
      <c r="A24" t="s">
        <v>650</v>
      </c>
    </row>
    <row r="25" spans="1:5" x14ac:dyDescent="0.2">
      <c r="A25" t="s">
        <v>649</v>
      </c>
    </row>
    <row r="26" spans="1:5" x14ac:dyDescent="0.2">
      <c r="A26" t="s">
        <v>641</v>
      </c>
    </row>
    <row r="31" spans="1:5" x14ac:dyDescent="0.2">
      <c r="A31" t="s">
        <v>643</v>
      </c>
    </row>
    <row r="32" spans="1:5" x14ac:dyDescent="0.2">
      <c r="A32" t="s">
        <v>651</v>
      </c>
    </row>
    <row r="43" spans="1:1" x14ac:dyDescent="0.2">
      <c r="A43" t="s">
        <v>642</v>
      </c>
    </row>
    <row r="44" spans="1:1" x14ac:dyDescent="0.2">
      <c r="A44" t="s">
        <v>596</v>
      </c>
    </row>
    <row r="59" spans="1:1" x14ac:dyDescent="0.2">
      <c r="A59" t="s">
        <v>39</v>
      </c>
    </row>
  </sheetData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FB5D-43BD-4837-A563-61D7B5A83F18}">
  <dimension ref="A1"/>
  <sheetViews>
    <sheetView workbookViewId="0">
      <selection sqref="A1:XFD1048576"/>
    </sheetView>
  </sheetViews>
  <sheetFormatPr defaultColWidth="10.76171875" defaultRowHeight="1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8200-BD84-4472-A64A-4624493E295D}">
  <dimension ref="A7:F59"/>
  <sheetViews>
    <sheetView zoomScaleNormal="100" workbookViewId="0">
      <selection activeCell="F30" sqref="F30"/>
    </sheetView>
  </sheetViews>
  <sheetFormatPr defaultColWidth="10.76171875" defaultRowHeight="15" x14ac:dyDescent="0.2"/>
  <cols>
    <col min="7" max="7" width="19.50390625" customWidth="1"/>
  </cols>
  <sheetData>
    <row r="7" spans="5:6" x14ac:dyDescent="0.2">
      <c r="E7" t="s">
        <v>633</v>
      </c>
    </row>
    <row r="8" spans="5:6" x14ac:dyDescent="0.2">
      <c r="E8" t="s">
        <v>634</v>
      </c>
    </row>
    <row r="10" spans="5:6" x14ac:dyDescent="0.2">
      <c r="E10" t="s">
        <v>635</v>
      </c>
    </row>
    <row r="12" spans="5:6" x14ac:dyDescent="0.2">
      <c r="E12" s="118">
        <v>4100</v>
      </c>
      <c r="F12" s="119" t="s">
        <v>636</v>
      </c>
    </row>
    <row r="17" spans="1:5" x14ac:dyDescent="0.2">
      <c r="E17" t="s">
        <v>283</v>
      </c>
    </row>
    <row r="18" spans="1:5" x14ac:dyDescent="0.2">
      <c r="A18" s="29" t="s">
        <v>686</v>
      </c>
    </row>
    <row r="21" spans="1:5" x14ac:dyDescent="0.2">
      <c r="A21" t="s">
        <v>637</v>
      </c>
    </row>
    <row r="22" spans="1:5" x14ac:dyDescent="0.2">
      <c r="A22" t="s">
        <v>687</v>
      </c>
    </row>
    <row r="23" spans="1:5" x14ac:dyDescent="0.2">
      <c r="A23" t="s">
        <v>688</v>
      </c>
    </row>
    <row r="24" spans="1:5" x14ac:dyDescent="0.2">
      <c r="A24" t="s">
        <v>622</v>
      </c>
    </row>
    <row r="25" spans="1:5" x14ac:dyDescent="0.2">
      <c r="A25" t="s">
        <v>649</v>
      </c>
    </row>
    <row r="26" spans="1:5" x14ac:dyDescent="0.2">
      <c r="A26" t="s">
        <v>641</v>
      </c>
    </row>
    <row r="31" spans="1:5" x14ac:dyDescent="0.2">
      <c r="A31" t="s">
        <v>643</v>
      </c>
    </row>
    <row r="32" spans="1:5" x14ac:dyDescent="0.2">
      <c r="A32" t="s">
        <v>689</v>
      </c>
    </row>
    <row r="43" spans="1:1" x14ac:dyDescent="0.2">
      <c r="A43" t="s">
        <v>642</v>
      </c>
    </row>
    <row r="44" spans="1:1" x14ac:dyDescent="0.2">
      <c r="A44" t="s">
        <v>596</v>
      </c>
    </row>
    <row r="59" spans="1:1" x14ac:dyDescent="0.2">
      <c r="A59" t="s">
        <v>39</v>
      </c>
    </row>
  </sheetData>
  <pageMargins left="0.7" right="0.7" top="0.75" bottom="0.75" header="0.3" footer="0.3"/>
  <pageSetup paperSize="9" scale="9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EEAE-4432-4F22-94DB-9935329FED22}">
  <dimension ref="A2:F62"/>
  <sheetViews>
    <sheetView topLeftCell="A22" zoomScaleNormal="100" workbookViewId="0">
      <selection activeCell="D44" sqref="D44"/>
    </sheetView>
  </sheetViews>
  <sheetFormatPr defaultColWidth="10.76171875" defaultRowHeight="15" x14ac:dyDescent="0.2"/>
  <cols>
    <col min="7" max="7" width="19.50390625" customWidth="1"/>
  </cols>
  <sheetData>
    <row r="2" spans="1:6" x14ac:dyDescent="0.2">
      <c r="E2" t="s">
        <v>690</v>
      </c>
    </row>
    <row r="7" spans="1:6" x14ac:dyDescent="0.2">
      <c r="E7" t="s">
        <v>691</v>
      </c>
    </row>
    <row r="8" spans="1:6" x14ac:dyDescent="0.2">
      <c r="E8" t="s">
        <v>692</v>
      </c>
    </row>
    <row r="10" spans="1:6" x14ac:dyDescent="0.2">
      <c r="E10" t="s">
        <v>693</v>
      </c>
    </row>
    <row r="12" spans="1:6" x14ac:dyDescent="0.2">
      <c r="E12" s="118">
        <v>4100</v>
      </c>
      <c r="F12" s="119" t="s">
        <v>636</v>
      </c>
    </row>
    <row r="16" spans="1:6" x14ac:dyDescent="0.2">
      <c r="A16" t="s">
        <v>694</v>
      </c>
    </row>
    <row r="17" spans="1:5" x14ac:dyDescent="0.2">
      <c r="E17" t="s">
        <v>283</v>
      </c>
    </row>
    <row r="18" spans="1:5" x14ac:dyDescent="0.2">
      <c r="A18" s="29"/>
    </row>
    <row r="21" spans="1:5" x14ac:dyDescent="0.2">
      <c r="A21" t="s">
        <v>698</v>
      </c>
    </row>
    <row r="23" spans="1:5" x14ac:dyDescent="0.2">
      <c r="A23" t="s">
        <v>695</v>
      </c>
    </row>
    <row r="24" spans="1:5" x14ac:dyDescent="0.2">
      <c r="A24" t="s">
        <v>696</v>
      </c>
    </row>
    <row r="26" spans="1:5" x14ac:dyDescent="0.2">
      <c r="A26" t="s">
        <v>697</v>
      </c>
    </row>
    <row r="27" spans="1:5" x14ac:dyDescent="0.2">
      <c r="A27" t="s">
        <v>641</v>
      </c>
    </row>
    <row r="29" spans="1:5" x14ac:dyDescent="0.2">
      <c r="A29" t="s">
        <v>699</v>
      </c>
    </row>
    <row r="34" spans="1:1" x14ac:dyDescent="0.2">
      <c r="A34" t="s">
        <v>643</v>
      </c>
    </row>
    <row r="35" spans="1:1" x14ac:dyDescent="0.2">
      <c r="A35" t="s">
        <v>689</v>
      </c>
    </row>
    <row r="46" spans="1:1" x14ac:dyDescent="0.2">
      <c r="A46" t="s">
        <v>642</v>
      </c>
    </row>
    <row r="47" spans="1:1" x14ac:dyDescent="0.2">
      <c r="A47" t="s">
        <v>596</v>
      </c>
    </row>
    <row r="62" spans="1:1" x14ac:dyDescent="0.2">
      <c r="A62" t="s">
        <v>39</v>
      </c>
    </row>
  </sheetData>
  <pageMargins left="0.7" right="0.7" top="0.75" bottom="0.75" header="0.3" footer="0.3"/>
  <pageSetup paperSize="9" scale="9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BA7B-985E-4B61-B34A-F21AB8DC1EF4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D4E5-2821-4B7C-AA85-728F987639CB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A2CA-8A68-47BC-B2DA-1C5569835184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87D2-BA7B-4735-B396-08B276E5B92E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7C2A-567E-4D6A-91F5-11F6854384E1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618B-EBAF-4BB6-AD33-26C9F8B75263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407B-1512-4CCB-BAC5-5A1891156CCC}">
  <dimension ref="A1:E62"/>
  <sheetViews>
    <sheetView zoomScaleNormal="100" workbookViewId="0">
      <selection activeCell="K10" sqref="K10"/>
    </sheetView>
  </sheetViews>
  <sheetFormatPr defaultColWidth="10.76171875" defaultRowHeight="15" x14ac:dyDescent="0.2"/>
  <sheetData>
    <row r="1" spans="1:5" x14ac:dyDescent="0.2">
      <c r="A1" t="s">
        <v>627</v>
      </c>
    </row>
    <row r="7" spans="1:5" x14ac:dyDescent="0.2">
      <c r="A7" s="1" t="s">
        <v>615</v>
      </c>
      <c r="E7" t="s">
        <v>611</v>
      </c>
    </row>
    <row r="8" spans="1:5" x14ac:dyDescent="0.2">
      <c r="E8" t="s">
        <v>612</v>
      </c>
    </row>
    <row r="9" spans="1:5" x14ac:dyDescent="0.2">
      <c r="A9" s="1" t="s">
        <v>618</v>
      </c>
    </row>
    <row r="10" spans="1:5" x14ac:dyDescent="0.2">
      <c r="E10" t="s">
        <v>613</v>
      </c>
    </row>
    <row r="12" spans="1:5" x14ac:dyDescent="0.2">
      <c r="E12" t="s">
        <v>614</v>
      </c>
    </row>
    <row r="14" spans="1:5" x14ac:dyDescent="0.2">
      <c r="A14" t="s">
        <v>616</v>
      </c>
    </row>
    <row r="17" spans="1:5" x14ac:dyDescent="0.2">
      <c r="E17" t="s">
        <v>283</v>
      </c>
    </row>
    <row r="18" spans="1:5" x14ac:dyDescent="0.2">
      <c r="A18" t="s">
        <v>617</v>
      </c>
    </row>
    <row r="21" spans="1:5" x14ac:dyDescent="0.2">
      <c r="A21" t="s">
        <v>619</v>
      </c>
    </row>
    <row r="22" spans="1:5" x14ac:dyDescent="0.2">
      <c r="A22" t="s">
        <v>620</v>
      </c>
    </row>
    <row r="24" spans="1:5" x14ac:dyDescent="0.2">
      <c r="A24" t="s">
        <v>621</v>
      </c>
    </row>
    <row r="25" spans="1:5" x14ac:dyDescent="0.2">
      <c r="A25" t="s">
        <v>622</v>
      </c>
    </row>
    <row r="28" spans="1:5" x14ac:dyDescent="0.2">
      <c r="A28" t="s">
        <v>628</v>
      </c>
    </row>
    <row r="29" spans="1:5" x14ac:dyDescent="0.2">
      <c r="A29" t="s">
        <v>623</v>
      </c>
    </row>
    <row r="31" spans="1:5" x14ac:dyDescent="0.2">
      <c r="A31" t="s">
        <v>624</v>
      </c>
    </row>
    <row r="34" spans="1:1" x14ac:dyDescent="0.2">
      <c r="A34" t="s">
        <v>625</v>
      </c>
    </row>
    <row r="35" spans="1:1" x14ac:dyDescent="0.2">
      <c r="A35" t="s">
        <v>626</v>
      </c>
    </row>
    <row r="46" spans="1:1" x14ac:dyDescent="0.2">
      <c r="A46" t="s">
        <v>595</v>
      </c>
    </row>
    <row r="47" spans="1:1" x14ac:dyDescent="0.2">
      <c r="A47" t="s">
        <v>596</v>
      </c>
    </row>
    <row r="62" spans="1:1" x14ac:dyDescent="0.2">
      <c r="A62" t="s">
        <v>39</v>
      </c>
    </row>
  </sheetData>
  <pageMargins left="0.7" right="0.7" top="0.75" bottom="0.75" header="0.3" footer="0.3"/>
  <pageSetup paperSize="9" scale="7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657C-175C-47E4-A5C7-89625D19E910}">
  <dimension ref="A1:E57"/>
  <sheetViews>
    <sheetView zoomScaleNormal="100" workbookViewId="0">
      <selection activeCell="F28" sqref="F28"/>
    </sheetView>
  </sheetViews>
  <sheetFormatPr defaultColWidth="10.76171875" defaultRowHeight="15" x14ac:dyDescent="0.2"/>
  <sheetData>
    <row r="1" spans="1:5" x14ac:dyDescent="0.2">
      <c r="A1" t="s">
        <v>652</v>
      </c>
    </row>
    <row r="7" spans="1:5" x14ac:dyDescent="0.2">
      <c r="A7" s="1"/>
      <c r="E7" t="s">
        <v>653</v>
      </c>
    </row>
    <row r="9" spans="1:5" x14ac:dyDescent="0.2">
      <c r="A9" s="1"/>
    </row>
    <row r="10" spans="1:5" x14ac:dyDescent="0.2">
      <c r="E10" t="s">
        <v>654</v>
      </c>
    </row>
    <row r="12" spans="1:5" x14ac:dyDescent="0.2">
      <c r="E12" t="s">
        <v>655</v>
      </c>
    </row>
    <row r="14" spans="1:5" x14ac:dyDescent="0.2">
      <c r="A14" t="s">
        <v>578</v>
      </c>
    </row>
    <row r="17" spans="1:5" x14ac:dyDescent="0.2">
      <c r="E17" t="s">
        <v>283</v>
      </c>
    </row>
    <row r="18" spans="1:5" x14ac:dyDescent="0.2">
      <c r="A18" t="s">
        <v>656</v>
      </c>
    </row>
    <row r="21" spans="1:5" x14ac:dyDescent="0.2">
      <c r="A21" t="s">
        <v>657</v>
      </c>
    </row>
    <row r="22" spans="1:5" x14ac:dyDescent="0.2">
      <c r="A22" t="s">
        <v>658</v>
      </c>
    </row>
    <row r="24" spans="1:5" x14ac:dyDescent="0.2">
      <c r="A24" t="s">
        <v>659</v>
      </c>
    </row>
    <row r="25" spans="1:5" x14ac:dyDescent="0.2">
      <c r="A25" t="s">
        <v>660</v>
      </c>
    </row>
    <row r="29" spans="1:5" x14ac:dyDescent="0.2">
      <c r="A29" t="s">
        <v>661</v>
      </c>
    </row>
    <row r="30" spans="1:5" x14ac:dyDescent="0.2">
      <c r="A30" t="s">
        <v>626</v>
      </c>
    </row>
    <row r="41" spans="1:1" x14ac:dyDescent="0.2">
      <c r="A41" t="s">
        <v>595</v>
      </c>
    </row>
    <row r="42" spans="1:1" x14ac:dyDescent="0.2">
      <c r="A42" t="s">
        <v>596</v>
      </c>
    </row>
    <row r="57" spans="1:1" x14ac:dyDescent="0.2">
      <c r="A57" t="s">
        <v>39</v>
      </c>
    </row>
  </sheetData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1231-13DA-4D2E-8B1E-34C400CF518A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C2-6629-4722-9360-7DC134827B3E}">
  <dimension ref="A5:B37"/>
  <sheetViews>
    <sheetView topLeftCell="A13" zoomScaleNormal="100" workbookViewId="0">
      <selection activeCell="J38" sqref="J38"/>
    </sheetView>
  </sheetViews>
  <sheetFormatPr defaultColWidth="10.76171875" defaultRowHeight="15" x14ac:dyDescent="0.2"/>
  <sheetData>
    <row r="5" spans="1:2" x14ac:dyDescent="0.2">
      <c r="B5" s="1" t="s">
        <v>662</v>
      </c>
    </row>
    <row r="9" spans="1:2" x14ac:dyDescent="0.2">
      <c r="A9" t="s">
        <v>663</v>
      </c>
    </row>
    <row r="11" spans="1:2" x14ac:dyDescent="0.2">
      <c r="A11" t="s">
        <v>664</v>
      </c>
    </row>
    <row r="12" spans="1:2" x14ac:dyDescent="0.2">
      <c r="A12" t="s">
        <v>665</v>
      </c>
    </row>
    <row r="13" spans="1:2" x14ac:dyDescent="0.2">
      <c r="A13" t="s">
        <v>666</v>
      </c>
    </row>
    <row r="15" spans="1:2" x14ac:dyDescent="0.2">
      <c r="A15" t="s">
        <v>667</v>
      </c>
    </row>
    <row r="16" spans="1:2" x14ac:dyDescent="0.2">
      <c r="A16" t="s">
        <v>668</v>
      </c>
    </row>
    <row r="17" spans="1:1" x14ac:dyDescent="0.2">
      <c r="A17" t="s">
        <v>669</v>
      </c>
    </row>
    <row r="19" spans="1:1" x14ac:dyDescent="0.2">
      <c r="A19" t="s">
        <v>670</v>
      </c>
    </row>
    <row r="21" spans="1:1" x14ac:dyDescent="0.2">
      <c r="A21" s="29" t="s">
        <v>671</v>
      </c>
    </row>
    <row r="22" spans="1:1" x14ac:dyDescent="0.2">
      <c r="A22" t="s">
        <v>672</v>
      </c>
    </row>
    <row r="23" spans="1:1" x14ac:dyDescent="0.2">
      <c r="A23" t="s">
        <v>673</v>
      </c>
    </row>
    <row r="24" spans="1:1" x14ac:dyDescent="0.2">
      <c r="A24" t="s">
        <v>674</v>
      </c>
    </row>
    <row r="25" spans="1:1" x14ac:dyDescent="0.2">
      <c r="A25" t="s">
        <v>675</v>
      </c>
    </row>
    <row r="27" spans="1:1" x14ac:dyDescent="0.2">
      <c r="A27" s="29" t="s">
        <v>676</v>
      </c>
    </row>
    <row r="28" spans="1:1" x14ac:dyDescent="0.2">
      <c r="A28" t="s">
        <v>677</v>
      </c>
    </row>
    <row r="29" spans="1:1" x14ac:dyDescent="0.2">
      <c r="A29" t="s">
        <v>678</v>
      </c>
    </row>
    <row r="30" spans="1:1" x14ac:dyDescent="0.2">
      <c r="A30" t="s">
        <v>679</v>
      </c>
    </row>
    <row r="31" spans="1:1" x14ac:dyDescent="0.2">
      <c r="A31" t="s">
        <v>680</v>
      </c>
    </row>
    <row r="32" spans="1:1" x14ac:dyDescent="0.2">
      <c r="A32" t="s">
        <v>681</v>
      </c>
    </row>
    <row r="35" spans="1:1" x14ac:dyDescent="0.2">
      <c r="A35" t="s">
        <v>682</v>
      </c>
    </row>
    <row r="37" spans="1:1" x14ac:dyDescent="0.2">
      <c r="A37" t="s">
        <v>683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8D18E-7281-4355-8D6D-4E0861A03932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F5FD-1AF4-48FE-A659-75751F995C29}">
  <dimension ref="A1"/>
  <sheetViews>
    <sheetView zoomScaleNormal="100" workbookViewId="0">
      <selection activeCell="B12" sqref="B12"/>
    </sheetView>
  </sheetViews>
  <sheetFormatPr defaultColWidth="10.76171875" defaultRowHeight="15" x14ac:dyDescent="0.2"/>
  <sheetData/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F315-E51E-4E99-BE21-29443FD7FB2A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549C-BFAC-4396-AB88-728EA82F19F9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177F-D200-45DB-B452-DBD61B8002C1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40</vt:i4>
      </vt:variant>
      <vt:variant>
        <vt:lpstr>Plages nommées</vt:lpstr>
      </vt:variant>
      <vt:variant>
        <vt:i4>17</vt:i4>
      </vt:variant>
    </vt:vector>
  </HeadingPairs>
  <TitlesOfParts>
    <vt:vector size="57" baseType="lpstr">
      <vt:lpstr>Feuil3</vt:lpstr>
      <vt:lpstr>Feuil4</vt:lpstr>
      <vt:lpstr>Feuil5</vt:lpstr>
      <vt:lpstr>Feuil6</vt:lpstr>
      <vt:lpstr>Feuil7</vt:lpstr>
      <vt:lpstr>calcul</vt:lpstr>
      <vt:lpstr>Feuil8</vt:lpstr>
      <vt:lpstr>Feuil9</vt:lpstr>
      <vt:lpstr>Feuil10</vt:lpstr>
      <vt:lpstr>Feuil11</vt:lpstr>
      <vt:lpstr>Feuil12</vt:lpstr>
      <vt:lpstr>Feuil13</vt:lpstr>
      <vt:lpstr>cloture</vt:lpstr>
      <vt:lpstr>409et407</vt:lpstr>
      <vt:lpstr>HUB</vt:lpstr>
      <vt:lpstr>seramco</vt:lpstr>
      <vt:lpstr>NPOWER</vt:lpstr>
      <vt:lpstr>NPOWERSUIVI (2)</vt:lpstr>
      <vt:lpstr>cowo</vt:lpstr>
      <vt:lpstr>uia</vt:lpstr>
      <vt:lpstr>fe</vt:lpstr>
      <vt:lpstr>financier</vt:lpstr>
      <vt:lpstr>remourban </vt:lpstr>
      <vt:lpstr>325-2018</vt:lpstr>
      <vt:lpstr>325-2019 (2)</vt:lpstr>
      <vt:lpstr>taxeasbl</vt:lpstr>
      <vt:lpstr>dcville</vt:lpstr>
      <vt:lpstr>dcville (3)</vt:lpstr>
      <vt:lpstr>dcville (2)</vt:lpstr>
      <vt:lpstr>dcville (4)</vt:lpstr>
      <vt:lpstr>chequecommerceville</vt:lpstr>
      <vt:lpstr>Feuil2</vt:lpstr>
      <vt:lpstr>Feuil14</vt:lpstr>
      <vt:lpstr>Feuil15</vt:lpstr>
      <vt:lpstr>Feuil16</vt:lpstr>
      <vt:lpstr>Feuil17</vt:lpstr>
      <vt:lpstr>Feuil18</vt:lpstr>
      <vt:lpstr>lettre (2)</vt:lpstr>
      <vt:lpstr>belfius</vt:lpstr>
      <vt:lpstr>rupturecommunaccord</vt:lpstr>
      <vt:lpstr>belfius!Zone_d_impression</vt:lpstr>
      <vt:lpstr>chequecommerceville!Zone_d_impression</vt:lpstr>
      <vt:lpstr>cowo!Zone_d_impression</vt:lpstr>
      <vt:lpstr>dcville!Zone_d_impression</vt:lpstr>
      <vt:lpstr>dcville (2)!Zone_d_impression</vt:lpstr>
      <vt:lpstr>dcville (3)!Zone_d_impression</vt:lpstr>
      <vt:lpstr>dcville (4)!Zone_d_impression</vt:lpstr>
      <vt:lpstr>fe!Zone_d_impression</vt:lpstr>
      <vt:lpstr>Feuil3!Zone_d_impression</vt:lpstr>
      <vt:lpstr>financier!Zone_d_impression</vt:lpstr>
      <vt:lpstr>lettre (2)!Zone_d_impression</vt:lpstr>
      <vt:lpstr>NPOWER!Zone_d_impression</vt:lpstr>
      <vt:lpstr>NPOWERSUIVI (2)!Zone_d_impression</vt:lpstr>
      <vt:lpstr>remourban !Zone_d_impression</vt:lpstr>
      <vt:lpstr>rupturecommunaccord!Zone_d_impression</vt:lpstr>
      <vt:lpstr>seramco!Zone_d_impression</vt:lpstr>
      <vt:lpstr>uia!Zone_d_impression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Lambrette</dc:creator>
  <cp:lastModifiedBy>Alexandrina Rodriguez</cp:lastModifiedBy>
  <cp:lastPrinted>2024-03-08T10:21:07Z</cp:lastPrinted>
  <dcterms:created xsi:type="dcterms:W3CDTF">2019-03-21T09:49:37Z</dcterms:created>
  <dcterms:modified xsi:type="dcterms:W3CDTF">2024-03-08T10:23:01Z</dcterms:modified>
</cp:coreProperties>
</file>